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Default Extension="emf" ContentType="image/x-emf"/>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45" windowWidth="15195" windowHeight="8445" tabRatio="811"/>
  </bookViews>
  <sheets>
    <sheet name="Présentation du calculateur" sheetId="3587" r:id="rId1"/>
    <sheet name="Equation du radar" sheetId="3585" r:id="rId2"/>
    <sheet name="Gain de l'antenne" sheetId="1" r:id="rId3"/>
    <sheet name="Couverture en &quot;espace libre&quot;" sheetId="2" r:id="rId4"/>
    <sheet name="Variation du signal" sheetId="3584" r:id="rId5"/>
    <sheet name="Effet de sol" sheetId="3" r:id="rId6"/>
    <sheet name="Portée dans le brouillage" sheetId="3586" r:id="rId7"/>
  </sheets>
  <externalReferences>
    <externalReference r:id="rId8"/>
  </externalReferences>
  <definedNames>
    <definedName name="_xlnm.Print_Area" localSheetId="3">'Couverture en "espace libre"'!$B$10:$O$39</definedName>
    <definedName name="_xlnm.Print_Area" localSheetId="5">'Effet de sol'!$BF$26:$BY$52</definedName>
    <definedName name="_xlnm.Print_Area" localSheetId="1">'Equation du radar'!$A$2:$H$23</definedName>
    <definedName name="_xlnm.Print_Area" localSheetId="2">'Gain de l''antenne'!$B$20:$V$48</definedName>
    <definedName name="_xlnm.Print_Area" localSheetId="6">'Portée dans le brouillage'!$A$1:$H$27</definedName>
    <definedName name="_xlnm.Print_Area" localSheetId="4">'Variation du signal'!$B$16:$O$47</definedName>
  </definedNames>
  <calcPr calcId="125725"/>
</workbook>
</file>

<file path=xl/calcChain.xml><?xml version="1.0" encoding="utf-8"?>
<calcChain xmlns="http://schemas.openxmlformats.org/spreadsheetml/2006/main">
  <c r="C8" i="3586"/>
  <c r="C6"/>
  <c r="E6" s="1"/>
  <c r="C4"/>
  <c r="E4" s="1"/>
  <c r="C2"/>
  <c r="E2" s="1"/>
  <c r="E8"/>
  <c r="E10"/>
  <c r="C12"/>
  <c r="E12" s="1"/>
  <c r="E14"/>
  <c r="E16"/>
  <c r="E18"/>
  <c r="C20"/>
  <c r="E20" s="1"/>
  <c r="E24" s="1"/>
  <c r="H20" s="1"/>
  <c r="H22" s="1"/>
  <c r="I22" s="1"/>
  <c r="E22"/>
  <c r="P58" i="1" l="1"/>
  <c r="P59"/>
  <c r="P60"/>
  <c r="P61"/>
  <c r="P56"/>
  <c r="P55"/>
  <c r="P54"/>
  <c r="P53"/>
  <c r="CL4"/>
  <c r="AH4"/>
  <c r="AH9" s="1"/>
  <c r="CL5" l="1"/>
  <c r="DP13"/>
  <c r="R58" s="1"/>
  <c r="DT4"/>
  <c r="DT13" s="1"/>
  <c r="DS4"/>
  <c r="DS13" s="1"/>
  <c r="DR4"/>
  <c r="DR13" s="1"/>
  <c r="DQ4"/>
  <c r="DQ13" s="1"/>
  <c r="DP4"/>
  <c r="DO4"/>
  <c r="DO13" s="1"/>
  <c r="DN4"/>
  <c r="DB4"/>
  <c r="CT4"/>
  <c r="CT9" s="1"/>
  <c r="CD4"/>
  <c r="CD9" s="1"/>
  <c r="BV4"/>
  <c r="BN4"/>
  <c r="BN9" s="1"/>
  <c r="BF4"/>
  <c r="AX4"/>
  <c r="AX9" s="1"/>
  <c r="AK9" s="1"/>
  <c r="AP4"/>
  <c r="Z4"/>
  <c r="R4"/>
  <c r="R9" s="1"/>
  <c r="J4"/>
  <c r="J13" s="1"/>
  <c r="DT3"/>
  <c r="DS3"/>
  <c r="DR3"/>
  <c r="DQ3"/>
  <c r="DP3"/>
  <c r="DO3"/>
  <c r="DN3"/>
  <c r="DB3"/>
  <c r="DA3"/>
  <c r="CZ3"/>
  <c r="CY3"/>
  <c r="CX3"/>
  <c r="CW3"/>
  <c r="CV3"/>
  <c r="CU3"/>
  <c r="CT3"/>
  <c r="CS3"/>
  <c r="CR3"/>
  <c r="CQ3"/>
  <c r="CP3"/>
  <c r="CO3"/>
  <c r="CN3"/>
  <c r="CM3"/>
  <c r="CL3"/>
  <c r="CK3"/>
  <c r="CJ3"/>
  <c r="CI3"/>
  <c r="CH3"/>
  <c r="CG3"/>
  <c r="CF3"/>
  <c r="CE3"/>
  <c r="CD3"/>
  <c r="CC3"/>
  <c r="CB3"/>
  <c r="CA3"/>
  <c r="BZ3"/>
  <c r="BY3"/>
  <c r="BX3"/>
  <c r="BW3"/>
  <c r="BV3"/>
  <c r="BU3"/>
  <c r="BT3"/>
  <c r="BS3"/>
  <c r="BR3"/>
  <c r="BQ3"/>
  <c r="BP3"/>
  <c r="BO3"/>
  <c r="BN3"/>
  <c r="BM3"/>
  <c r="BL3"/>
  <c r="BK3"/>
  <c r="BJ3"/>
  <c r="BI3"/>
  <c r="BH3"/>
  <c r="BG3"/>
  <c r="BF3"/>
  <c r="BE3"/>
  <c r="BD3"/>
  <c r="BC3"/>
  <c r="BB3"/>
  <c r="BA3"/>
  <c r="AZ3"/>
  <c r="AY3"/>
  <c r="AX3"/>
  <c r="AW3"/>
  <c r="AV3"/>
  <c r="AU3"/>
  <c r="AT3"/>
  <c r="AS3"/>
  <c r="AR3"/>
  <c r="AQ3"/>
  <c r="AP3"/>
  <c r="AO3"/>
  <c r="AN3"/>
  <c r="AM3"/>
  <c r="AL3"/>
  <c r="AK3"/>
  <c r="AJ3"/>
  <c r="AI3"/>
  <c r="AH3"/>
  <c r="AG3"/>
  <c r="AF3"/>
  <c r="AE3"/>
  <c r="AD3"/>
  <c r="AC3"/>
  <c r="AB3"/>
  <c r="AA3"/>
  <c r="Z3"/>
  <c r="Y3"/>
  <c r="X3"/>
  <c r="W3"/>
  <c r="V3"/>
  <c r="U3"/>
  <c r="T3"/>
  <c r="S3"/>
  <c r="R3"/>
  <c r="Q3"/>
  <c r="P3"/>
  <c r="O3"/>
  <c r="N3"/>
  <c r="M3"/>
  <c r="L3"/>
  <c r="K3"/>
  <c r="J3"/>
  <c r="DC2"/>
  <c r="DC3" s="1"/>
  <c r="I2"/>
  <c r="I3" s="1"/>
  <c r="B53"/>
  <c r="A54"/>
  <c r="B54" s="1"/>
  <c r="B18"/>
  <c r="C18"/>
  <c r="D18"/>
  <c r="E18"/>
  <c r="F18"/>
  <c r="G18"/>
  <c r="H18"/>
  <c r="I18"/>
  <c r="J18"/>
  <c r="K18"/>
  <c r="L18"/>
  <c r="M18"/>
  <c r="N18"/>
  <c r="O18"/>
  <c r="P18"/>
  <c r="Q18"/>
  <c r="R18"/>
  <c r="S18"/>
  <c r="T18"/>
  <c r="U18"/>
  <c r="BG18" i="3"/>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BF18"/>
  <c r="B2" i="2"/>
  <c r="C2"/>
  <c r="D2"/>
  <c r="E2"/>
  <c r="F2"/>
  <c r="G2"/>
  <c r="H2"/>
  <c r="I2"/>
  <c r="J2"/>
  <c r="K2"/>
  <c r="L2"/>
  <c r="M2"/>
  <c r="N2"/>
  <c r="O2"/>
  <c r="B3"/>
  <c r="C3"/>
  <c r="D3"/>
  <c r="E3"/>
  <c r="F3"/>
  <c r="G3"/>
  <c r="H3"/>
  <c r="I3"/>
  <c r="J3"/>
  <c r="K3"/>
  <c r="L3"/>
  <c r="M3"/>
  <c r="N3"/>
  <c r="O3"/>
  <c r="J2" i="3"/>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BF34"/>
  <c r="BF33" s="1"/>
  <c r="E2" i="3585"/>
  <c r="E4"/>
  <c r="E6"/>
  <c r="E8"/>
  <c r="E22"/>
  <c r="H20" s="1"/>
  <c r="H22" s="1"/>
  <c r="E10"/>
  <c r="E12"/>
  <c r="E14"/>
  <c r="E16"/>
  <c r="E18"/>
  <c r="E20"/>
  <c r="B2" i="3584"/>
  <c r="C2"/>
  <c r="D2"/>
  <c r="E2"/>
  <c r="F2"/>
  <c r="G2"/>
  <c r="H2"/>
  <c r="I2"/>
  <c r="J2"/>
  <c r="K2"/>
  <c r="L2"/>
  <c r="M2"/>
  <c r="N2"/>
  <c r="O2"/>
  <c r="B3"/>
  <c r="C3"/>
  <c r="D3"/>
  <c r="E3"/>
  <c r="F3"/>
  <c r="G3"/>
  <c r="H3"/>
  <c r="I3"/>
  <c r="J3"/>
  <c r="K3"/>
  <c r="L3"/>
  <c r="M3"/>
  <c r="N3"/>
  <c r="O3"/>
  <c r="B8"/>
  <c r="C8"/>
  <c r="D8"/>
  <c r="D10"/>
  <c r="D11"/>
  <c r="D12"/>
  <c r="E8"/>
  <c r="F8"/>
  <c r="G8"/>
  <c r="H8"/>
  <c r="H10"/>
  <c r="H11"/>
  <c r="H12"/>
  <c r="I8"/>
  <c r="J8"/>
  <c r="K8"/>
  <c r="L8"/>
  <c r="L10"/>
  <c r="L11"/>
  <c r="L12"/>
  <c r="M8"/>
  <c r="N8"/>
  <c r="O8"/>
  <c r="B9"/>
  <c r="C9"/>
  <c r="D9"/>
  <c r="E9"/>
  <c r="F9"/>
  <c r="G9"/>
  <c r="H9"/>
  <c r="I9"/>
  <c r="J9"/>
  <c r="K9"/>
  <c r="L9"/>
  <c r="M9"/>
  <c r="N9"/>
  <c r="O9"/>
  <c r="B10"/>
  <c r="C10"/>
  <c r="C11"/>
  <c r="C12"/>
  <c r="E10"/>
  <c r="E11"/>
  <c r="E12"/>
  <c r="F10"/>
  <c r="G10"/>
  <c r="G11"/>
  <c r="G12"/>
  <c r="I10"/>
  <c r="I11"/>
  <c r="I12"/>
  <c r="J10"/>
  <c r="K10"/>
  <c r="K11"/>
  <c r="K12"/>
  <c r="M10"/>
  <c r="M11"/>
  <c r="M12"/>
  <c r="N10"/>
  <c r="O10"/>
  <c r="O11"/>
  <c r="O12"/>
  <c r="B11"/>
  <c r="B12"/>
  <c r="F11"/>
  <c r="F12"/>
  <c r="J11"/>
  <c r="J12"/>
  <c r="N11"/>
  <c r="N12"/>
  <c r="A17"/>
  <c r="I13" s="1"/>
  <c r="H13"/>
  <c r="C13"/>
  <c r="J13"/>
  <c r="D13"/>
  <c r="N13" l="1"/>
  <c r="O13"/>
  <c r="M13"/>
  <c r="G13"/>
  <c r="F13"/>
  <c r="L13"/>
  <c r="H24" i="3586"/>
  <c r="I24" s="1"/>
  <c r="I25" s="1"/>
  <c r="I26" s="1"/>
  <c r="H26" s="1"/>
  <c r="A15" i="2"/>
  <c r="A22" i="3"/>
  <c r="CH22" s="1"/>
  <c r="A20" i="3584"/>
  <c r="CG9" i="1"/>
  <c r="CK9"/>
  <c r="CO9"/>
  <c r="CS9"/>
  <c r="CN9"/>
  <c r="CH9"/>
  <c r="CL9"/>
  <c r="CP9"/>
  <c r="CE9"/>
  <c r="CF9"/>
  <c r="CJ9"/>
  <c r="CR9"/>
  <c r="CI9"/>
  <c r="CM9"/>
  <c r="CQ9"/>
  <c r="DN13"/>
  <c r="P57" s="1"/>
  <c r="DN9"/>
  <c r="DN12" s="1"/>
  <c r="W9"/>
  <c r="AA9"/>
  <c r="AE9"/>
  <c r="V9"/>
  <c r="AD9"/>
  <c r="U9"/>
  <c r="AC9"/>
  <c r="T9"/>
  <c r="X9"/>
  <c r="AB9"/>
  <c r="AF9"/>
  <c r="Z9"/>
  <c r="S9"/>
  <c r="Y9"/>
  <c r="AG9"/>
  <c r="DD9"/>
  <c r="CX9"/>
  <c r="DB9"/>
  <c r="CU9"/>
  <c r="DC9"/>
  <c r="AV9"/>
  <c r="AT9"/>
  <c r="AO9"/>
  <c r="AM9"/>
  <c r="AI9"/>
  <c r="AS9"/>
  <c r="AN9"/>
  <c r="AP9"/>
  <c r="AJ9"/>
  <c r="BA9"/>
  <c r="BE9"/>
  <c r="BI9"/>
  <c r="BM9"/>
  <c r="AZ9"/>
  <c r="BH9"/>
  <c r="BC9"/>
  <c r="BK9"/>
  <c r="BB9"/>
  <c r="BF9"/>
  <c r="BJ9"/>
  <c r="AY9"/>
  <c r="BD9"/>
  <c r="BL9"/>
  <c r="BG9"/>
  <c r="BQ9"/>
  <c r="BU9"/>
  <c r="BY9"/>
  <c r="CC9"/>
  <c r="BP9"/>
  <c r="BX9"/>
  <c r="CA9"/>
  <c r="BR9"/>
  <c r="BV9"/>
  <c r="BZ9"/>
  <c r="BO9"/>
  <c r="BT9"/>
  <c r="CB9"/>
  <c r="BS9"/>
  <c r="BW9"/>
  <c r="AR9"/>
  <c r="AU9"/>
  <c r="Z10"/>
  <c r="AQ9"/>
  <c r="AL9"/>
  <c r="AW9"/>
  <c r="AP5"/>
  <c r="Z5"/>
  <c r="CO5"/>
  <c r="CN5"/>
  <c r="CY5"/>
  <c r="BF5"/>
  <c r="BV5"/>
  <c r="CJ5" s="1"/>
  <c r="DB5"/>
  <c r="CX5" s="1"/>
  <c r="L5"/>
  <c r="P5"/>
  <c r="T5"/>
  <c r="X5"/>
  <c r="J5"/>
  <c r="R5"/>
  <c r="M5"/>
  <c r="U5"/>
  <c r="K5"/>
  <c r="O5"/>
  <c r="S5"/>
  <c r="W5"/>
  <c r="N5"/>
  <c r="V5"/>
  <c r="Q5"/>
  <c r="Y5"/>
  <c r="CI5"/>
  <c r="R61"/>
  <c r="R6"/>
  <c r="B13" i="3584"/>
  <c r="K13"/>
  <c r="E13"/>
  <c r="A55" i="1"/>
  <c r="B55" s="1"/>
  <c r="R53"/>
  <c r="T54"/>
  <c r="T57"/>
  <c r="T58"/>
  <c r="T59"/>
  <c r="T53"/>
  <c r="V60"/>
  <c r="V59"/>
  <c r="V57"/>
  <c r="V53"/>
  <c r="V61"/>
  <c r="R60"/>
  <c r="R57"/>
  <c r="H2"/>
  <c r="H3" s="1"/>
  <c r="Q53"/>
  <c r="Q59"/>
  <c r="Q60"/>
  <c r="Q58"/>
  <c r="Q57"/>
  <c r="Q54"/>
  <c r="Q55"/>
  <c r="Q56"/>
  <c r="Q61"/>
  <c r="U53"/>
  <c r="U61"/>
  <c r="U60"/>
  <c r="U54"/>
  <c r="U55"/>
  <c r="U56"/>
  <c r="U59"/>
  <c r="U58"/>
  <c r="U57"/>
  <c r="S58"/>
  <c r="S59"/>
  <c r="S54"/>
  <c r="S55"/>
  <c r="S56"/>
  <c r="S57"/>
  <c r="S53"/>
  <c r="S61"/>
  <c r="S60"/>
  <c r="V58"/>
  <c r="T61"/>
  <c r="R59"/>
  <c r="V56"/>
  <c r="R56"/>
  <c r="V55"/>
  <c r="R55"/>
  <c r="V54"/>
  <c r="R54"/>
  <c r="DD2"/>
  <c r="T60"/>
  <c r="T56"/>
  <c r="T55"/>
  <c r="DA19" i="3"/>
  <c r="BG19"/>
  <c r="BS19"/>
  <c r="BJ19"/>
  <c r="BP19"/>
  <c r="CX19"/>
  <c r="CL19"/>
  <c r="CC19"/>
  <c r="BM19"/>
  <c r="CH19"/>
  <c r="BF19"/>
  <c r="CW19"/>
  <c r="CJ19"/>
  <c r="BO19"/>
  <c r="BW19"/>
  <c r="BZ19"/>
  <c r="DB19"/>
  <c r="CO19"/>
  <c r="CV19"/>
  <c r="BT19"/>
  <c r="BL19"/>
  <c r="CZ19"/>
  <c r="CQ19"/>
  <c r="CU19"/>
  <c r="CK19"/>
  <c r="BQ19"/>
  <c r="CP19"/>
  <c r="BN19"/>
  <c r="CN19"/>
  <c r="CB19"/>
  <c r="BK19"/>
  <c r="BH19"/>
  <c r="CM19"/>
  <c r="CE19"/>
  <c r="BY19"/>
  <c r="BV19"/>
  <c r="BI19"/>
  <c r="CG19"/>
  <c r="BX19"/>
  <c r="CY19"/>
  <c r="CF19"/>
  <c r="CR19"/>
  <c r="CD19"/>
  <c r="CS19"/>
  <c r="BU19"/>
  <c r="CI19"/>
  <c r="BR19"/>
  <c r="CA19"/>
  <c r="CT19"/>
  <c r="CB22"/>
  <c r="CQ22"/>
  <c r="BL22"/>
  <c r="DG22" l="1"/>
  <c r="BH22"/>
  <c r="BN22"/>
  <c r="BU22"/>
  <c r="DE22"/>
  <c r="CL22"/>
  <c r="CF22"/>
  <c r="CX22"/>
  <c r="CN22"/>
  <c r="BT22"/>
  <c r="BO22"/>
  <c r="CD22"/>
  <c r="BS22"/>
  <c r="BQ22"/>
  <c r="CY22"/>
  <c r="DF22"/>
  <c r="CZ22"/>
  <c r="BV22"/>
  <c r="CK22"/>
  <c r="BX22"/>
  <c r="CS22"/>
  <c r="CJ22"/>
  <c r="BI22"/>
  <c r="CI22"/>
  <c r="CM22"/>
  <c r="CE22"/>
  <c r="CC22"/>
  <c r="CT22"/>
  <c r="DC22"/>
  <c r="BM22"/>
  <c r="CR22"/>
  <c r="BG22"/>
  <c r="BW22"/>
  <c r="CP22"/>
  <c r="CU22"/>
  <c r="BR22"/>
  <c r="BF22"/>
  <c r="BY22"/>
  <c r="DH22"/>
  <c r="CG22"/>
  <c r="DD22"/>
  <c r="BJ22"/>
  <c r="BK22"/>
  <c r="CO22"/>
  <c r="DI22"/>
  <c r="CW22"/>
  <c r="BP22"/>
  <c r="BZ22"/>
  <c r="CA22"/>
  <c r="DA22"/>
  <c r="DB22"/>
  <c r="CV22"/>
  <c r="D6" i="2"/>
  <c r="M6"/>
  <c r="G6"/>
  <c r="C6"/>
  <c r="K6"/>
  <c r="O6"/>
  <c r="J6"/>
  <c r="F6"/>
  <c r="N6"/>
  <c r="H6"/>
  <c r="L6"/>
  <c r="E6"/>
  <c r="I6"/>
  <c r="B6"/>
  <c r="BX5" i="1"/>
  <c r="CP5"/>
  <c r="CF5"/>
  <c r="CQ5"/>
  <c r="BF10"/>
  <c r="BV10"/>
  <c r="CV9"/>
  <c r="DA9"/>
  <c r="AA12"/>
  <c r="CW5"/>
  <c r="S11"/>
  <c r="S12" s="1"/>
  <c r="W11"/>
  <c r="W12" s="1"/>
  <c r="W13" s="1"/>
  <c r="AB11"/>
  <c r="AB12" s="1"/>
  <c r="AF11"/>
  <c r="V11"/>
  <c r="AE11"/>
  <c r="AE12" s="1"/>
  <c r="Y11"/>
  <c r="T11"/>
  <c r="X11"/>
  <c r="X12" s="1"/>
  <c r="X13" s="1"/>
  <c r="AC11"/>
  <c r="AC12" s="1"/>
  <c r="AG11"/>
  <c r="AG12" s="1"/>
  <c r="R11"/>
  <c r="R12" s="1"/>
  <c r="AA11"/>
  <c r="Z11"/>
  <c r="U11"/>
  <c r="AD11"/>
  <c r="AH11"/>
  <c r="AH12" s="1"/>
  <c r="CL10"/>
  <c r="Y12"/>
  <c r="Y13" s="1"/>
  <c r="U12"/>
  <c r="U13" s="1"/>
  <c r="CV5"/>
  <c r="CS5"/>
  <c r="AF12"/>
  <c r="V12"/>
  <c r="CT5"/>
  <c r="CZ5"/>
  <c r="DA5"/>
  <c r="DB10"/>
  <c r="AP10"/>
  <c r="CZ9"/>
  <c r="CY9"/>
  <c r="CW9"/>
  <c r="Z12"/>
  <c r="T12"/>
  <c r="T13" s="1"/>
  <c r="AD12"/>
  <c r="BJ5"/>
  <c r="BN5"/>
  <c r="BR5"/>
  <c r="BG5"/>
  <c r="BL5"/>
  <c r="BT5"/>
  <c r="BK5"/>
  <c r="BS5"/>
  <c r="BI5"/>
  <c r="BM5"/>
  <c r="BQ5"/>
  <c r="BU5"/>
  <c r="BH5"/>
  <c r="BP5"/>
  <c r="BO5"/>
  <c r="AS5"/>
  <c r="AW5"/>
  <c r="BA5"/>
  <c r="BE5"/>
  <c r="AU5"/>
  <c r="BC5"/>
  <c r="AT5"/>
  <c r="AX5"/>
  <c r="BB5"/>
  <c r="AQ5"/>
  <c r="AR5"/>
  <c r="AV5"/>
  <c r="AZ5"/>
  <c r="BD5"/>
  <c r="AY5"/>
  <c r="CH5"/>
  <c r="CG5"/>
  <c r="CD5"/>
  <c r="CD6" s="1"/>
  <c r="CC7" s="1"/>
  <c r="CC8" s="1"/>
  <c r="BW5"/>
  <c r="CK5"/>
  <c r="BZ5"/>
  <c r="CC5"/>
  <c r="CE5"/>
  <c r="BY5"/>
  <c r="CM5"/>
  <c r="CU5"/>
  <c r="CR5"/>
  <c r="AD5"/>
  <c r="AH5"/>
  <c r="AH6" s="1"/>
  <c r="AL5"/>
  <c r="AA5"/>
  <c r="AF5"/>
  <c r="AN5"/>
  <c r="AI5"/>
  <c r="AC5"/>
  <c r="AG5"/>
  <c r="AK5"/>
  <c r="AO5"/>
  <c r="AB5"/>
  <c r="AJ5"/>
  <c r="AE5"/>
  <c r="AM5"/>
  <c r="CA5"/>
  <c r="CB5"/>
  <c r="X8"/>
  <c r="CA7"/>
  <c r="CA8" s="1"/>
  <c r="N7"/>
  <c r="N8" s="1"/>
  <c r="N13" s="1"/>
  <c r="T7"/>
  <c r="T8" s="1"/>
  <c r="U7"/>
  <c r="U8" s="1"/>
  <c r="V7"/>
  <c r="V8" s="1"/>
  <c r="S7"/>
  <c r="S8" s="1"/>
  <c r="K7"/>
  <c r="K8" s="1"/>
  <c r="K13" s="1"/>
  <c r="L7"/>
  <c r="L8" s="1"/>
  <c r="L13" s="1"/>
  <c r="R7"/>
  <c r="R8" s="1"/>
  <c r="J7"/>
  <c r="J8" s="1"/>
  <c r="X7"/>
  <c r="Y7"/>
  <c r="Y8" s="1"/>
  <c r="Z7"/>
  <c r="Z8" s="1"/>
  <c r="W7"/>
  <c r="W8" s="1"/>
  <c r="M7"/>
  <c r="M8" s="1"/>
  <c r="M13" s="1"/>
  <c r="O7"/>
  <c r="O8" s="1"/>
  <c r="O13" s="1"/>
  <c r="P7"/>
  <c r="P8" s="1"/>
  <c r="P13" s="1"/>
  <c r="Q7"/>
  <c r="Q8" s="1"/>
  <c r="Q13" s="1"/>
  <c r="A56"/>
  <c r="A57" s="1"/>
  <c r="G2"/>
  <c r="F2" s="1"/>
  <c r="D53"/>
  <c r="C57"/>
  <c r="DD3"/>
  <c r="DE2"/>
  <c r="DE9" s="1"/>
  <c r="AG13" l="1"/>
  <c r="AB13"/>
  <c r="E58" s="1"/>
  <c r="S13"/>
  <c r="CG11"/>
  <c r="CG12" s="1"/>
  <c r="CK11"/>
  <c r="CK12" s="1"/>
  <c r="CK13" s="1"/>
  <c r="CP11"/>
  <c r="CP12" s="1"/>
  <c r="CT11"/>
  <c r="CT12" s="1"/>
  <c r="CJ11"/>
  <c r="CJ12" s="1"/>
  <c r="CS11"/>
  <c r="CS12" s="1"/>
  <c r="CE11"/>
  <c r="CE12" s="1"/>
  <c r="CN11"/>
  <c r="CN12" s="1"/>
  <c r="CH11"/>
  <c r="CH12" s="1"/>
  <c r="CH13" s="1"/>
  <c r="CM11"/>
  <c r="CM12" s="1"/>
  <c r="CQ11"/>
  <c r="CQ12" s="1"/>
  <c r="CL11"/>
  <c r="CL12" s="1"/>
  <c r="CL13" s="1"/>
  <c r="CF11"/>
  <c r="CF12" s="1"/>
  <c r="CF13" s="1"/>
  <c r="CO11"/>
  <c r="CO12" s="1"/>
  <c r="CI11"/>
  <c r="CI12" s="1"/>
  <c r="CR11"/>
  <c r="CR12" s="1"/>
  <c r="BQ11"/>
  <c r="BQ12" s="1"/>
  <c r="BU11"/>
  <c r="BU12" s="1"/>
  <c r="BZ11"/>
  <c r="BZ12" s="1"/>
  <c r="CD11"/>
  <c r="CD12" s="1"/>
  <c r="CD13" s="1"/>
  <c r="M53" s="1"/>
  <c r="BT11"/>
  <c r="BT12" s="1"/>
  <c r="BO11"/>
  <c r="BO12" s="1"/>
  <c r="BX11"/>
  <c r="BX12" s="1"/>
  <c r="BR11"/>
  <c r="BR12" s="1"/>
  <c r="BW11"/>
  <c r="BW12" s="1"/>
  <c r="BW13" s="1"/>
  <c r="CA11"/>
  <c r="CA12" s="1"/>
  <c r="CA13" s="1"/>
  <c r="BV11"/>
  <c r="BV12" s="1"/>
  <c r="BP11"/>
  <c r="BP12" s="1"/>
  <c r="BY11"/>
  <c r="BY12" s="1"/>
  <c r="CC11"/>
  <c r="CC12" s="1"/>
  <c r="CC13" s="1"/>
  <c r="BS11"/>
  <c r="BS12" s="1"/>
  <c r="CB11"/>
  <c r="CB12" s="1"/>
  <c r="CB13" s="1"/>
  <c r="AF13"/>
  <c r="V13"/>
  <c r="CI7"/>
  <c r="CI8" s="1"/>
  <c r="AH13"/>
  <c r="E61" s="1"/>
  <c r="CW11"/>
  <c r="CW12" s="1"/>
  <c r="DA11"/>
  <c r="DF11"/>
  <c r="DE11"/>
  <c r="DE12" s="1"/>
  <c r="DE13" s="1"/>
  <c r="CY11"/>
  <c r="CX11"/>
  <c r="CX12" s="1"/>
  <c r="DC11"/>
  <c r="DC12" s="1"/>
  <c r="DC13" s="1"/>
  <c r="DB11"/>
  <c r="DB12" s="1"/>
  <c r="CV11"/>
  <c r="CV12" s="1"/>
  <c r="CZ11"/>
  <c r="CZ12" s="1"/>
  <c r="CU11"/>
  <c r="CU12" s="1"/>
  <c r="DD11"/>
  <c r="DD12" s="1"/>
  <c r="DD13" s="1"/>
  <c r="O58" s="1"/>
  <c r="CT6"/>
  <c r="AS11"/>
  <c r="AS12" s="1"/>
  <c r="AW11"/>
  <c r="AW12" s="1"/>
  <c r="AK11"/>
  <c r="AK12" s="1"/>
  <c r="AO11"/>
  <c r="AO12" s="1"/>
  <c r="AV11"/>
  <c r="AV12" s="1"/>
  <c r="AU11"/>
  <c r="AU12" s="1"/>
  <c r="AT11"/>
  <c r="AT12" s="1"/>
  <c r="AX11"/>
  <c r="AX12" s="1"/>
  <c r="AL11"/>
  <c r="AL12" s="1"/>
  <c r="AL13" s="1"/>
  <c r="AP11"/>
  <c r="AP12" s="1"/>
  <c r="AR11"/>
  <c r="AR12" s="1"/>
  <c r="AJ11"/>
  <c r="AJ12" s="1"/>
  <c r="AN11"/>
  <c r="AN12" s="1"/>
  <c r="AN13" s="1"/>
  <c r="AQ11"/>
  <c r="AQ12" s="1"/>
  <c r="AI11"/>
  <c r="AI12" s="1"/>
  <c r="AM11"/>
  <c r="AM12" s="1"/>
  <c r="BA11"/>
  <c r="BA12" s="1"/>
  <c r="BE11"/>
  <c r="BE12" s="1"/>
  <c r="BJ11"/>
  <c r="BJ12" s="1"/>
  <c r="BN11"/>
  <c r="BN12" s="1"/>
  <c r="AZ11"/>
  <c r="AZ12" s="1"/>
  <c r="BI11"/>
  <c r="BI12" s="1"/>
  <c r="BC11"/>
  <c r="BC12" s="1"/>
  <c r="BL11"/>
  <c r="BL12" s="1"/>
  <c r="BB11"/>
  <c r="BB12" s="1"/>
  <c r="BG11"/>
  <c r="BG12" s="1"/>
  <c r="BK11"/>
  <c r="BK12" s="1"/>
  <c r="BF11"/>
  <c r="BF12" s="1"/>
  <c r="BD11"/>
  <c r="BD12" s="1"/>
  <c r="BM11"/>
  <c r="BM12" s="1"/>
  <c r="AY11"/>
  <c r="AY12" s="1"/>
  <c r="BH11"/>
  <c r="BH12" s="1"/>
  <c r="Z13"/>
  <c r="E57" s="1"/>
  <c r="CH7"/>
  <c r="CH8" s="1"/>
  <c r="CY12"/>
  <c r="DA12"/>
  <c r="BW7"/>
  <c r="BW8" s="1"/>
  <c r="AD13"/>
  <c r="R13"/>
  <c r="E53" s="1"/>
  <c r="AG7"/>
  <c r="AG8" s="1"/>
  <c r="AJ7"/>
  <c r="AJ8" s="1"/>
  <c r="AB7"/>
  <c r="AB8" s="1"/>
  <c r="AE7"/>
  <c r="AE8" s="1"/>
  <c r="AE13" s="1"/>
  <c r="AL7"/>
  <c r="AL8" s="1"/>
  <c r="AF7"/>
  <c r="AF8" s="1"/>
  <c r="AC7"/>
  <c r="AC8" s="1"/>
  <c r="AC13" s="1"/>
  <c r="AA7"/>
  <c r="AA8" s="1"/>
  <c r="AA13" s="1"/>
  <c r="AM7"/>
  <c r="AM8" s="1"/>
  <c r="AO7"/>
  <c r="AO8" s="1"/>
  <c r="AH7"/>
  <c r="AH8" s="1"/>
  <c r="AI7"/>
  <c r="AI8" s="1"/>
  <c r="AK7"/>
  <c r="AK8" s="1"/>
  <c r="AD7"/>
  <c r="AD8" s="1"/>
  <c r="AN7"/>
  <c r="AN8" s="1"/>
  <c r="AX6"/>
  <c r="BN6"/>
  <c r="CD7"/>
  <c r="CD8" s="1"/>
  <c r="CL7"/>
  <c r="CL8" s="1"/>
  <c r="B56"/>
  <c r="CB7"/>
  <c r="CB8" s="1"/>
  <c r="BZ7"/>
  <c r="BZ8" s="1"/>
  <c r="BX7"/>
  <c r="BX8" s="1"/>
  <c r="BY7"/>
  <c r="BY8" s="1"/>
  <c r="CJ7"/>
  <c r="CJ8" s="1"/>
  <c r="CF7"/>
  <c r="CF8" s="1"/>
  <c r="CK7"/>
  <c r="CK8" s="1"/>
  <c r="CE7"/>
  <c r="CE8" s="1"/>
  <c r="CG7"/>
  <c r="CG8" s="1"/>
  <c r="G3"/>
  <c r="A58"/>
  <c r="B57"/>
  <c r="C61"/>
  <c r="DF2"/>
  <c r="DF9" s="1"/>
  <c r="DE3"/>
  <c r="D61"/>
  <c r="F53"/>
  <c r="F3"/>
  <c r="E2"/>
  <c r="E56"/>
  <c r="D60"/>
  <c r="F57"/>
  <c r="CV13" l="1"/>
  <c r="N58" s="1"/>
  <c r="N53"/>
  <c r="M57"/>
  <c r="L61"/>
  <c r="CO7"/>
  <c r="CO8" s="1"/>
  <c r="CS7"/>
  <c r="CS8" s="1"/>
  <c r="CR7"/>
  <c r="CR8" s="1"/>
  <c r="CP7"/>
  <c r="CP8" s="1"/>
  <c r="CN7"/>
  <c r="CN8" s="1"/>
  <c r="CM7"/>
  <c r="CM8" s="1"/>
  <c r="CQ7"/>
  <c r="CQ8" s="1"/>
  <c r="CW7"/>
  <c r="CW8" s="1"/>
  <c r="CW13" s="1"/>
  <c r="CY7"/>
  <c r="CY8" s="1"/>
  <c r="CU7"/>
  <c r="CU8" s="1"/>
  <c r="CV7"/>
  <c r="CV8" s="1"/>
  <c r="CX7"/>
  <c r="CX8" s="1"/>
  <c r="CX13" s="1"/>
  <c r="DA7"/>
  <c r="DA8" s="1"/>
  <c r="CT7"/>
  <c r="CT8" s="1"/>
  <c r="CZ7"/>
  <c r="CZ8" s="1"/>
  <c r="CZ13" s="1"/>
  <c r="DB7"/>
  <c r="DB8" s="1"/>
  <c r="DB13" s="1"/>
  <c r="CY13"/>
  <c r="AZ13"/>
  <c r="H58" s="1"/>
  <c r="BA13"/>
  <c r="CU13"/>
  <c r="CR13"/>
  <c r="N56" s="1"/>
  <c r="CN13"/>
  <c r="CT13"/>
  <c r="L57"/>
  <c r="DA13"/>
  <c r="BM13"/>
  <c r="BE13"/>
  <c r="AW13"/>
  <c r="BY13"/>
  <c r="BQ13"/>
  <c r="CJ13"/>
  <c r="CG13"/>
  <c r="F54"/>
  <c r="G53"/>
  <c r="K61"/>
  <c r="D57"/>
  <c r="BK13"/>
  <c r="AI13"/>
  <c r="AK13"/>
  <c r="CO13"/>
  <c r="CM13"/>
  <c r="CS13"/>
  <c r="DF12"/>
  <c r="DF13" s="1"/>
  <c r="O59" s="1"/>
  <c r="BH13"/>
  <c r="J54" s="1"/>
  <c r="BN13"/>
  <c r="AM13"/>
  <c r="AJ13"/>
  <c r="AO13"/>
  <c r="BS13"/>
  <c r="BX13"/>
  <c r="BZ13"/>
  <c r="L55" s="1"/>
  <c r="CI13"/>
  <c r="CQ13"/>
  <c r="CE13"/>
  <c r="CP13"/>
  <c r="N55" s="1"/>
  <c r="AQ7"/>
  <c r="AQ8" s="1"/>
  <c r="AQ13" s="1"/>
  <c r="AU7"/>
  <c r="AU8" s="1"/>
  <c r="AU13" s="1"/>
  <c r="AY7"/>
  <c r="AY8" s="1"/>
  <c r="AY13" s="1"/>
  <c r="BC7"/>
  <c r="BC8" s="1"/>
  <c r="BC13" s="1"/>
  <c r="AP7"/>
  <c r="AP8" s="1"/>
  <c r="AP13" s="1"/>
  <c r="BE7"/>
  <c r="BE8" s="1"/>
  <c r="AV7"/>
  <c r="AV8" s="1"/>
  <c r="AV13" s="1"/>
  <c r="BD7"/>
  <c r="BD8" s="1"/>
  <c r="BD13" s="1"/>
  <c r="AT7"/>
  <c r="AT8" s="1"/>
  <c r="AT13" s="1"/>
  <c r="AX7"/>
  <c r="AX8" s="1"/>
  <c r="AX13" s="1"/>
  <c r="BB7"/>
  <c r="BB8" s="1"/>
  <c r="BB13" s="1"/>
  <c r="BF7"/>
  <c r="BF8" s="1"/>
  <c r="BF13" s="1"/>
  <c r="AS7"/>
  <c r="AS8" s="1"/>
  <c r="AS13" s="1"/>
  <c r="AW7"/>
  <c r="AW8" s="1"/>
  <c r="BA7"/>
  <c r="BA8" s="1"/>
  <c r="AR7"/>
  <c r="AR8" s="1"/>
  <c r="AR13" s="1"/>
  <c r="AZ7"/>
  <c r="AZ8" s="1"/>
  <c r="BH7"/>
  <c r="BH8" s="1"/>
  <c r="BL7"/>
  <c r="BL8" s="1"/>
  <c r="BL13" s="1"/>
  <c r="BP7"/>
  <c r="BP8" s="1"/>
  <c r="BP13" s="1"/>
  <c r="BT7"/>
  <c r="BT8" s="1"/>
  <c r="BT13" s="1"/>
  <c r="BR7"/>
  <c r="BR8" s="1"/>
  <c r="BR13" s="1"/>
  <c r="BM7"/>
  <c r="BM8" s="1"/>
  <c r="BU7"/>
  <c r="BU8" s="1"/>
  <c r="BU13" s="1"/>
  <c r="BK7"/>
  <c r="BK8" s="1"/>
  <c r="BO7"/>
  <c r="BO8" s="1"/>
  <c r="BO13" s="1"/>
  <c r="BS7"/>
  <c r="BS8" s="1"/>
  <c r="BG7"/>
  <c r="BG8" s="1"/>
  <c r="BG13" s="1"/>
  <c r="BJ7"/>
  <c r="BJ8" s="1"/>
  <c r="BJ13" s="1"/>
  <c r="J55" s="1"/>
  <c r="BN7"/>
  <c r="BN8" s="1"/>
  <c r="BV7"/>
  <c r="BV8" s="1"/>
  <c r="BV13" s="1"/>
  <c r="BI7"/>
  <c r="BI8" s="1"/>
  <c r="BI13" s="1"/>
  <c r="BQ7"/>
  <c r="BQ8" s="1"/>
  <c r="B58"/>
  <c r="A59"/>
  <c r="F55"/>
  <c r="E59"/>
  <c r="M59"/>
  <c r="C60"/>
  <c r="D56"/>
  <c r="M61"/>
  <c r="N57"/>
  <c r="O53"/>
  <c r="M60"/>
  <c r="L58"/>
  <c r="M54"/>
  <c r="M55"/>
  <c r="L59"/>
  <c r="D58"/>
  <c r="E54"/>
  <c r="DF3"/>
  <c r="DG2"/>
  <c r="K59"/>
  <c r="E3"/>
  <c r="D2"/>
  <c r="E55"/>
  <c r="D59"/>
  <c r="G54"/>
  <c r="F58"/>
  <c r="I54"/>
  <c r="K60"/>
  <c r="L56"/>
  <c r="F56"/>
  <c r="E60"/>
  <c r="F60"/>
  <c r="G56"/>
  <c r="J61" l="1"/>
  <c r="L53"/>
  <c r="K57"/>
  <c r="I60"/>
  <c r="J56"/>
  <c r="H59"/>
  <c r="I55"/>
  <c r="H54"/>
  <c r="G58"/>
  <c r="I57"/>
  <c r="H61"/>
  <c r="J53"/>
  <c r="H60"/>
  <c r="I56"/>
  <c r="K56"/>
  <c r="J60"/>
  <c r="N61"/>
  <c r="O57"/>
  <c r="K55"/>
  <c r="J59"/>
  <c r="I53"/>
  <c r="G61"/>
  <c r="H57"/>
  <c r="G60"/>
  <c r="H56"/>
  <c r="J58"/>
  <c r="K54"/>
  <c r="G57"/>
  <c r="H53"/>
  <c r="F61"/>
  <c r="J57"/>
  <c r="I61"/>
  <c r="K53"/>
  <c r="M56"/>
  <c r="L60"/>
  <c r="L54"/>
  <c r="K58"/>
  <c r="O54"/>
  <c r="DG9"/>
  <c r="DG12" s="1"/>
  <c r="DG13" s="1"/>
  <c r="DG11"/>
  <c r="N54"/>
  <c r="M58"/>
  <c r="I58"/>
  <c r="I59"/>
  <c r="A60"/>
  <c r="B59"/>
  <c r="D55"/>
  <c r="C59"/>
  <c r="G55"/>
  <c r="F59"/>
  <c r="O55"/>
  <c r="N59"/>
  <c r="D3"/>
  <c r="C2"/>
  <c r="H55"/>
  <c r="G59"/>
  <c r="N60"/>
  <c r="O56"/>
  <c r="DG3"/>
  <c r="DH2"/>
  <c r="D54"/>
  <c r="C58"/>
  <c r="DH9" l="1"/>
  <c r="DH11"/>
  <c r="A61"/>
  <c r="B61" s="1"/>
  <c r="B60"/>
  <c r="DH3"/>
  <c r="DI2"/>
  <c r="C3"/>
  <c r="B2"/>
  <c r="DH12" l="1"/>
  <c r="DH13" s="1"/>
  <c r="O60" s="1"/>
  <c r="DI9"/>
  <c r="DI12" s="1"/>
  <c r="DI13" s="1"/>
  <c r="DI11"/>
  <c r="C17"/>
  <c r="C19" s="1"/>
  <c r="R4" i="3" s="1"/>
  <c r="R9" s="1"/>
  <c r="M17" i="1"/>
  <c r="M19" s="1"/>
  <c r="G4" i="2" s="1"/>
  <c r="G5" s="1"/>
  <c r="G7" s="1"/>
  <c r="G8" s="1"/>
  <c r="G9" s="1"/>
  <c r="R17" i="1"/>
  <c r="R19" s="1"/>
  <c r="DF4" i="3" s="1"/>
  <c r="DF13" s="1"/>
  <c r="DF14" s="1"/>
  <c r="F17" i="1"/>
  <c r="F19" s="1"/>
  <c r="AP4" i="3" s="1"/>
  <c r="K17" i="1"/>
  <c r="K19" s="1"/>
  <c r="U17"/>
  <c r="U19" s="1"/>
  <c r="O4" i="2" s="1"/>
  <c r="O5" s="1"/>
  <c r="O7" s="1"/>
  <c r="O8" s="1"/>
  <c r="O9" s="1"/>
  <c r="Q17" i="1"/>
  <c r="Q19" s="1"/>
  <c r="K4" i="2" s="1"/>
  <c r="K5" s="1"/>
  <c r="K7" s="1"/>
  <c r="K8" s="1"/>
  <c r="K9" s="1"/>
  <c r="J17" i="1"/>
  <c r="J19" s="1"/>
  <c r="G17"/>
  <c r="G19" s="1"/>
  <c r="AX4" i="3" s="1"/>
  <c r="P17" i="1"/>
  <c r="P19" s="1"/>
  <c r="S17"/>
  <c r="S19" s="1"/>
  <c r="L17"/>
  <c r="L19" s="1"/>
  <c r="H17"/>
  <c r="H19" s="1"/>
  <c r="T17"/>
  <c r="T19" s="1"/>
  <c r="O17"/>
  <c r="O19" s="1"/>
  <c r="D17"/>
  <c r="D19" s="1"/>
  <c r="Z4" i="3" s="1"/>
  <c r="E17" i="1"/>
  <c r="E19" s="1"/>
  <c r="AH4" i="3" s="1"/>
  <c r="I17" i="1"/>
  <c r="I19" s="1"/>
  <c r="DJ2"/>
  <c r="DI3"/>
  <c r="B3"/>
  <c r="B13"/>
  <c r="Z5" i="3" l="1"/>
  <c r="AP5"/>
  <c r="AH9"/>
  <c r="Y9" s="1"/>
  <c r="AX9"/>
  <c r="DJ9" i="1"/>
  <c r="DJ11"/>
  <c r="C13"/>
  <c r="D13"/>
  <c r="F13"/>
  <c r="E13"/>
  <c r="H13"/>
  <c r="I13"/>
  <c r="G13"/>
  <c r="DI4" i="3"/>
  <c r="DI13" s="1"/>
  <c r="DI14" s="1"/>
  <c r="CT4"/>
  <c r="O4" i="3584"/>
  <c r="O5" s="1"/>
  <c r="O6" s="1"/>
  <c r="O7" s="1"/>
  <c r="G4"/>
  <c r="G5" s="1"/>
  <c r="G6" s="1"/>
  <c r="L4"/>
  <c r="L5" s="1"/>
  <c r="L6" s="1"/>
  <c r="L14" s="1"/>
  <c r="K4"/>
  <c r="K5" s="1"/>
  <c r="K6" s="1"/>
  <c r="K7" s="1"/>
  <c r="DE4" i="3"/>
  <c r="DE13" s="1"/>
  <c r="DE14" s="1"/>
  <c r="L4" i="2"/>
  <c r="L5" s="1"/>
  <c r="L7" s="1"/>
  <c r="L8" s="1"/>
  <c r="L9" s="1"/>
  <c r="E4" i="3584"/>
  <c r="E5" s="1"/>
  <c r="E6" s="1"/>
  <c r="E4" i="2"/>
  <c r="E5" s="1"/>
  <c r="E7" s="1"/>
  <c r="E8" s="1"/>
  <c r="E9" s="1"/>
  <c r="CD4" i="3"/>
  <c r="C4" i="3584"/>
  <c r="C5" s="1"/>
  <c r="C6" s="1"/>
  <c r="C4" i="2"/>
  <c r="C5" s="1"/>
  <c r="C7" s="1"/>
  <c r="C8" s="1"/>
  <c r="C9" s="1"/>
  <c r="BN4" i="3"/>
  <c r="CL4"/>
  <c r="F4" i="2"/>
  <c r="F5" s="1"/>
  <c r="F7" s="1"/>
  <c r="F8" s="1"/>
  <c r="F9" s="1"/>
  <c r="F4" i="3584"/>
  <c r="F5" s="1"/>
  <c r="F6" s="1"/>
  <c r="D4"/>
  <c r="D5" s="1"/>
  <c r="D6" s="1"/>
  <c r="BV4" i="3"/>
  <c r="D4" i="2"/>
  <c r="D5" s="1"/>
  <c r="D7" s="1"/>
  <c r="D8" s="1"/>
  <c r="D9" s="1"/>
  <c r="B4"/>
  <c r="B5" s="1"/>
  <c r="B7" s="1"/>
  <c r="B8" s="1"/>
  <c r="B9" s="1"/>
  <c r="BF4" i="3"/>
  <c r="B4" i="3584"/>
  <c r="B5" s="1"/>
  <c r="B6" s="1"/>
  <c r="DG4" i="3"/>
  <c r="DG13" s="1"/>
  <c r="DG14" s="1"/>
  <c r="M4" i="2"/>
  <c r="M5" s="1"/>
  <c r="M7" s="1"/>
  <c r="M8" s="1"/>
  <c r="M9" s="1"/>
  <c r="M4" i="3584"/>
  <c r="M5" s="1"/>
  <c r="M6" s="1"/>
  <c r="DC4" i="3"/>
  <c r="DC13" s="1"/>
  <c r="DC14" s="1"/>
  <c r="I4" i="2"/>
  <c r="I5" s="1"/>
  <c r="I7" s="1"/>
  <c r="I8" s="1"/>
  <c r="I9" s="1"/>
  <c r="I4" i="3584"/>
  <c r="I5" s="1"/>
  <c r="I6" s="1"/>
  <c r="N4"/>
  <c r="N5" s="1"/>
  <c r="N6" s="1"/>
  <c r="N4" i="2"/>
  <c r="N5" s="1"/>
  <c r="N7" s="1"/>
  <c r="N8" s="1"/>
  <c r="N9" s="1"/>
  <c r="DH4" i="3"/>
  <c r="DH13" s="1"/>
  <c r="DH14" s="1"/>
  <c r="J4" i="3584"/>
  <c r="J5" s="1"/>
  <c r="J6" s="1"/>
  <c r="DD4" i="3"/>
  <c r="DD13" s="1"/>
  <c r="DD14" s="1"/>
  <c r="J4" i="2"/>
  <c r="J5" s="1"/>
  <c r="J7" s="1"/>
  <c r="J8" s="1"/>
  <c r="J9" s="1"/>
  <c r="C53" i="1"/>
  <c r="C55"/>
  <c r="C56"/>
  <c r="C54"/>
  <c r="DJ3"/>
  <c r="DK2"/>
  <c r="DK9" s="1"/>
  <c r="DK12" s="1"/>
  <c r="DK13" s="1"/>
  <c r="AE9" i="3" l="1"/>
  <c r="X9"/>
  <c r="V9"/>
  <c r="AF9"/>
  <c r="Z9"/>
  <c r="Z10" s="1"/>
  <c r="AC11" s="1"/>
  <c r="AA9"/>
  <c r="U9"/>
  <c r="AG9"/>
  <c r="AB9"/>
  <c r="S9"/>
  <c r="T9"/>
  <c r="W9"/>
  <c r="AD9"/>
  <c r="AC9"/>
  <c r="BF5"/>
  <c r="AZ5" s="1"/>
  <c r="BN9"/>
  <c r="BH9" s="1"/>
  <c r="CT9"/>
  <c r="AV9"/>
  <c r="AN9"/>
  <c r="AS9"/>
  <c r="AW9"/>
  <c r="AO9"/>
  <c r="AR9"/>
  <c r="AJ9"/>
  <c r="AK9"/>
  <c r="AU9"/>
  <c r="AM9"/>
  <c r="AP9"/>
  <c r="AP10" s="1"/>
  <c r="AQ9"/>
  <c r="AT9"/>
  <c r="AI9"/>
  <c r="AL9"/>
  <c r="AK5"/>
  <c r="AL5"/>
  <c r="AI5"/>
  <c r="AJ5"/>
  <c r="AA5"/>
  <c r="AC5"/>
  <c r="AE5"/>
  <c r="AD5"/>
  <c r="AM5"/>
  <c r="AN5"/>
  <c r="AG5"/>
  <c r="AH5"/>
  <c r="AH6" s="1"/>
  <c r="AO5"/>
  <c r="AB5"/>
  <c r="AF5"/>
  <c r="BV5"/>
  <c r="CL5"/>
  <c r="CD9"/>
  <c r="DJ12" i="1"/>
  <c r="DJ13" s="1"/>
  <c r="O61" s="1"/>
  <c r="N17" s="1"/>
  <c r="N19" s="1"/>
  <c r="DB4" i="3" s="1"/>
  <c r="L7" i="3584"/>
  <c r="O14"/>
  <c r="K14"/>
  <c r="G7"/>
  <c r="G14"/>
  <c r="E14"/>
  <c r="E7"/>
  <c r="F14"/>
  <c r="F7"/>
  <c r="J7"/>
  <c r="J14"/>
  <c r="BF42" i="3"/>
  <c r="D14" i="3584"/>
  <c r="D7"/>
  <c r="N7"/>
  <c r="N14"/>
  <c r="B7"/>
  <c r="B14"/>
  <c r="M14"/>
  <c r="M7"/>
  <c r="I14"/>
  <c r="I7"/>
  <c r="C14"/>
  <c r="C7"/>
  <c r="DK3" i="1"/>
  <c r="DL2"/>
  <c r="DL9" s="1"/>
  <c r="DL12" s="1"/>
  <c r="DL13" s="1"/>
  <c r="B17"/>
  <c r="B19" s="1"/>
  <c r="J4" i="3" s="1"/>
  <c r="AH11" l="1"/>
  <c r="AH12" s="1"/>
  <c r="R11"/>
  <c r="R12" s="1"/>
  <c r="X11"/>
  <c r="X12" s="1"/>
  <c r="AB11"/>
  <c r="AB12" s="1"/>
  <c r="W11"/>
  <c r="W12" s="1"/>
  <c r="U11"/>
  <c r="U12" s="1"/>
  <c r="BF9"/>
  <c r="BF10" s="1"/>
  <c r="BB11" s="1"/>
  <c r="BD9"/>
  <c r="BL9"/>
  <c r="AY9"/>
  <c r="AA11"/>
  <c r="AA12" s="1"/>
  <c r="V11"/>
  <c r="V12" s="1"/>
  <c r="AZ9"/>
  <c r="BJ9"/>
  <c r="AC12"/>
  <c r="Z11"/>
  <c r="Z12" s="1"/>
  <c r="S11"/>
  <c r="S12" s="1"/>
  <c r="T11"/>
  <c r="T12" s="1"/>
  <c r="AG11"/>
  <c r="AG12" s="1"/>
  <c r="AX5"/>
  <c r="AX6" s="1"/>
  <c r="AQ7" s="1"/>
  <c r="Y11"/>
  <c r="Y12" s="1"/>
  <c r="AE11"/>
  <c r="AE12" s="1"/>
  <c r="AF11"/>
  <c r="AF12" s="1"/>
  <c r="AD11"/>
  <c r="AD12" s="1"/>
  <c r="AU5"/>
  <c r="AW5"/>
  <c r="BA11"/>
  <c r="AI7"/>
  <c r="AI8" s="1"/>
  <c r="AM7"/>
  <c r="AM8" s="1"/>
  <c r="AB7"/>
  <c r="AB8" s="1"/>
  <c r="AF7"/>
  <c r="AF8" s="1"/>
  <c r="AK7"/>
  <c r="AK8" s="1"/>
  <c r="AD7"/>
  <c r="AD8" s="1"/>
  <c r="AN7"/>
  <c r="AN8" s="1"/>
  <c r="AG7"/>
  <c r="AG8" s="1"/>
  <c r="AL7"/>
  <c r="AL8" s="1"/>
  <c r="AA7"/>
  <c r="AA8" s="1"/>
  <c r="AE7"/>
  <c r="AE8" s="1"/>
  <c r="AO7"/>
  <c r="AO8" s="1"/>
  <c r="AH7"/>
  <c r="AH8" s="1"/>
  <c r="AJ7"/>
  <c r="AJ8" s="1"/>
  <c r="AC7"/>
  <c r="AC8" s="1"/>
  <c r="AL11"/>
  <c r="AL12" s="1"/>
  <c r="AP11"/>
  <c r="AP12" s="1"/>
  <c r="AT11"/>
  <c r="AT12" s="1"/>
  <c r="AX11"/>
  <c r="AX12" s="1"/>
  <c r="AV11"/>
  <c r="AV12" s="1"/>
  <c r="AM11"/>
  <c r="AM12" s="1"/>
  <c r="AU11"/>
  <c r="AU12" s="1"/>
  <c r="AK11"/>
  <c r="AK12" s="1"/>
  <c r="AO11"/>
  <c r="AO12" s="1"/>
  <c r="AS11"/>
  <c r="AS12" s="1"/>
  <c r="AW11"/>
  <c r="AW12" s="1"/>
  <c r="AJ11"/>
  <c r="AJ12" s="1"/>
  <c r="AN11"/>
  <c r="AN12" s="1"/>
  <c r="AR11"/>
  <c r="AR12" s="1"/>
  <c r="AQ11"/>
  <c r="AQ12" s="1"/>
  <c r="AI11"/>
  <c r="AI12" s="1"/>
  <c r="AR5"/>
  <c r="BB5"/>
  <c r="BA5"/>
  <c r="AT5"/>
  <c r="BC5"/>
  <c r="AS5"/>
  <c r="AY5"/>
  <c r="BE5"/>
  <c r="AV5"/>
  <c r="BD5"/>
  <c r="AQ5"/>
  <c r="CS9"/>
  <c r="CK9"/>
  <c r="CR9"/>
  <c r="CN9"/>
  <c r="CF9"/>
  <c r="CO9"/>
  <c r="CG9"/>
  <c r="CJ9"/>
  <c r="CQ9"/>
  <c r="CP9"/>
  <c r="CH9"/>
  <c r="CE9"/>
  <c r="CM9"/>
  <c r="CL9"/>
  <c r="CL10" s="1"/>
  <c r="CI9"/>
  <c r="CA5"/>
  <c r="CB5"/>
  <c r="BZ5"/>
  <c r="CH5"/>
  <c r="CE5"/>
  <c r="CF5"/>
  <c r="CD5"/>
  <c r="CD6" s="1"/>
  <c r="CI5"/>
  <c r="CJ5"/>
  <c r="CG5"/>
  <c r="CK5"/>
  <c r="BW5"/>
  <c r="BX5"/>
  <c r="CC5"/>
  <c r="BY5"/>
  <c r="BX9"/>
  <c r="BP9"/>
  <c r="CC9"/>
  <c r="BY9"/>
  <c r="BQ9"/>
  <c r="CB9"/>
  <c r="BT9"/>
  <c r="BU9"/>
  <c r="CA9"/>
  <c r="BV9"/>
  <c r="BV10" s="1"/>
  <c r="BS9"/>
  <c r="BW9"/>
  <c r="BR9"/>
  <c r="BO9"/>
  <c r="BZ9"/>
  <c r="BK5"/>
  <c r="BL5"/>
  <c r="BM5"/>
  <c r="BQ5"/>
  <c r="BN5"/>
  <c r="BN6" s="1"/>
  <c r="BT5"/>
  <c r="BG5"/>
  <c r="BO5"/>
  <c r="BP5"/>
  <c r="BR5"/>
  <c r="BI5"/>
  <c r="BS5"/>
  <c r="BJ5"/>
  <c r="BH5"/>
  <c r="BU5"/>
  <c r="BC9"/>
  <c r="BB9"/>
  <c r="BE9"/>
  <c r="BA9"/>
  <c r="J13"/>
  <c r="J14" s="1"/>
  <c r="X5"/>
  <c r="T5"/>
  <c r="P5"/>
  <c r="L5"/>
  <c r="R5"/>
  <c r="J5"/>
  <c r="S5"/>
  <c r="K5"/>
  <c r="B13"/>
  <c r="Y5"/>
  <c r="U5"/>
  <c r="Q5"/>
  <c r="M5"/>
  <c r="V5"/>
  <c r="N5"/>
  <c r="W5"/>
  <c r="O5"/>
  <c r="DB5"/>
  <c r="CX5" s="1"/>
  <c r="BG9"/>
  <c r="BK9"/>
  <c r="BM9"/>
  <c r="BI9"/>
  <c r="H4" i="3584"/>
  <c r="H5" s="1"/>
  <c r="H6" s="1"/>
  <c r="H7" s="1"/>
  <c r="H4" i="2"/>
  <c r="H5" s="1"/>
  <c r="H7" s="1"/>
  <c r="H8" s="1"/>
  <c r="H9" s="1"/>
  <c r="DL3" i="1"/>
  <c r="DM2"/>
  <c r="DM9" s="1"/>
  <c r="DM12" s="1"/>
  <c r="DM13" s="1"/>
  <c r="AH13" i="3" l="1"/>
  <c r="AH14" s="1"/>
  <c r="AA13"/>
  <c r="AA14" s="1"/>
  <c r="CK15" s="1"/>
  <c r="CK17" s="1"/>
  <c r="AZ11"/>
  <c r="AZ12" s="1"/>
  <c r="BC11"/>
  <c r="BC12" s="1"/>
  <c r="AZ7"/>
  <c r="AZ8" s="1"/>
  <c r="AB13"/>
  <c r="AB14" s="1"/>
  <c r="BK11"/>
  <c r="BK12" s="1"/>
  <c r="BE11"/>
  <c r="BJ11"/>
  <c r="BJ12" s="1"/>
  <c r="AY11"/>
  <c r="AY12" s="1"/>
  <c r="BH11"/>
  <c r="BH12" s="1"/>
  <c r="BI11"/>
  <c r="BI12" s="1"/>
  <c r="BN11"/>
  <c r="BN12" s="1"/>
  <c r="BF11"/>
  <c r="BF12" s="1"/>
  <c r="BD11"/>
  <c r="BD12" s="1"/>
  <c r="BL11"/>
  <c r="BL12" s="1"/>
  <c r="BM11"/>
  <c r="BM12" s="1"/>
  <c r="BG11"/>
  <c r="BG12" s="1"/>
  <c r="AE13"/>
  <c r="AE14" s="1"/>
  <c r="CG15" s="1"/>
  <c r="CG17" s="1"/>
  <c r="CR5"/>
  <c r="AV7"/>
  <c r="AV8" s="1"/>
  <c r="AV13" s="1"/>
  <c r="AV14" s="1"/>
  <c r="AC13"/>
  <c r="AC14" s="1"/>
  <c r="CI15" s="1"/>
  <c r="CI17" s="1"/>
  <c r="AX7"/>
  <c r="AX8" s="1"/>
  <c r="AX13" s="1"/>
  <c r="AX14" s="1"/>
  <c r="AQ8"/>
  <c r="AQ13" s="1"/>
  <c r="AQ14" s="1"/>
  <c r="AF13"/>
  <c r="AF14" s="1"/>
  <c r="CF15" s="1"/>
  <c r="CF17" s="1"/>
  <c r="AM13"/>
  <c r="AM14" s="1"/>
  <c r="BY15" s="1"/>
  <c r="BY17" s="1"/>
  <c r="BB7"/>
  <c r="BB8" s="1"/>
  <c r="AY7"/>
  <c r="AY8" s="1"/>
  <c r="AG13"/>
  <c r="AG14" s="1"/>
  <c r="DA5"/>
  <c r="AD13"/>
  <c r="AD14" s="1"/>
  <c r="BE7"/>
  <c r="BE8" s="1"/>
  <c r="AT7"/>
  <c r="AT8" s="1"/>
  <c r="AT13" s="1"/>
  <c r="AT14" s="1"/>
  <c r="AR7"/>
  <c r="AR8" s="1"/>
  <c r="AR13" s="1"/>
  <c r="AR14" s="1"/>
  <c r="AU7"/>
  <c r="AU8" s="1"/>
  <c r="AU13" s="1"/>
  <c r="AU14" s="1"/>
  <c r="CU5"/>
  <c r="BF7"/>
  <c r="BF8" s="1"/>
  <c r="BC7"/>
  <c r="BC8" s="1"/>
  <c r="AS7"/>
  <c r="AS8" s="1"/>
  <c r="AS13" s="1"/>
  <c r="AS14" s="1"/>
  <c r="BD7"/>
  <c r="BD8" s="1"/>
  <c r="AW7"/>
  <c r="AW8" s="1"/>
  <c r="AW13" s="1"/>
  <c r="AW14" s="1"/>
  <c r="BO15" s="1"/>
  <c r="BO17" s="1"/>
  <c r="AP7"/>
  <c r="AP8" s="1"/>
  <c r="AP13" s="1"/>
  <c r="AP14" s="1"/>
  <c r="BV15" s="1"/>
  <c r="BV17" s="1"/>
  <c r="BA7"/>
  <c r="BA8" s="1"/>
  <c r="BB12"/>
  <c r="AJ13"/>
  <c r="AJ14" s="1"/>
  <c r="CB15" s="1"/>
  <c r="CB17" s="1"/>
  <c r="AI13"/>
  <c r="AI14" s="1"/>
  <c r="CC15" s="1"/>
  <c r="CC17" s="1"/>
  <c r="AN13"/>
  <c r="AN14" s="1"/>
  <c r="BI7"/>
  <c r="BI8" s="1"/>
  <c r="BM7"/>
  <c r="BM8" s="1"/>
  <c r="BQ7"/>
  <c r="BQ8" s="1"/>
  <c r="BU7"/>
  <c r="BU8" s="1"/>
  <c r="BK7"/>
  <c r="BK8" s="1"/>
  <c r="BS7"/>
  <c r="BS8" s="1"/>
  <c r="BJ7"/>
  <c r="BJ8" s="1"/>
  <c r="BR7"/>
  <c r="BR8" s="1"/>
  <c r="BH7"/>
  <c r="BH8" s="1"/>
  <c r="BL7"/>
  <c r="BL8" s="1"/>
  <c r="BP7"/>
  <c r="BP8" s="1"/>
  <c r="BT7"/>
  <c r="BT8" s="1"/>
  <c r="BO7"/>
  <c r="BO8" s="1"/>
  <c r="BG7"/>
  <c r="BG8" s="1"/>
  <c r="BN7"/>
  <c r="BN8" s="1"/>
  <c r="BV7"/>
  <c r="BV8" s="1"/>
  <c r="BY7"/>
  <c r="BY8" s="1"/>
  <c r="CC7"/>
  <c r="CC8" s="1"/>
  <c r="CG7"/>
  <c r="CG8" s="1"/>
  <c r="CK7"/>
  <c r="CK8" s="1"/>
  <c r="CA7"/>
  <c r="CA8" s="1"/>
  <c r="CI7"/>
  <c r="CI8" s="1"/>
  <c r="BZ7"/>
  <c r="BZ8" s="1"/>
  <c r="CH7"/>
  <c r="CH8" s="1"/>
  <c r="BX7"/>
  <c r="BX8" s="1"/>
  <c r="CB7"/>
  <c r="CB8" s="1"/>
  <c r="CF7"/>
  <c r="CF8" s="1"/>
  <c r="CJ7"/>
  <c r="CJ8" s="1"/>
  <c r="CE7"/>
  <c r="CE8" s="1"/>
  <c r="BW7"/>
  <c r="BW8" s="1"/>
  <c r="CD7"/>
  <c r="CD8" s="1"/>
  <c r="CL7"/>
  <c r="CL8" s="1"/>
  <c r="CW5"/>
  <c r="DB9"/>
  <c r="CH11"/>
  <c r="CH12" s="1"/>
  <c r="CL11"/>
  <c r="CL12" s="1"/>
  <c r="CP11"/>
  <c r="CP12" s="1"/>
  <c r="CT11"/>
  <c r="CT12" s="1"/>
  <c r="CI11"/>
  <c r="CI12" s="1"/>
  <c r="CE11"/>
  <c r="CE12" s="1"/>
  <c r="CG11"/>
  <c r="CG12" s="1"/>
  <c r="CK11"/>
  <c r="CK12" s="1"/>
  <c r="CO11"/>
  <c r="CO12" s="1"/>
  <c r="CS11"/>
  <c r="CS12" s="1"/>
  <c r="CF11"/>
  <c r="CF12" s="1"/>
  <c r="CJ11"/>
  <c r="CJ12" s="1"/>
  <c r="CN11"/>
  <c r="CN12" s="1"/>
  <c r="CR11"/>
  <c r="CR12" s="1"/>
  <c r="CM11"/>
  <c r="CM12" s="1"/>
  <c r="CQ11"/>
  <c r="CQ12" s="1"/>
  <c r="BR11"/>
  <c r="BR12" s="1"/>
  <c r="BV11"/>
  <c r="BV12" s="1"/>
  <c r="BZ11"/>
  <c r="BZ12" s="1"/>
  <c r="CD11"/>
  <c r="CD12" s="1"/>
  <c r="BW11"/>
  <c r="BW12" s="1"/>
  <c r="BO11"/>
  <c r="BO12" s="1"/>
  <c r="BQ11"/>
  <c r="BQ12" s="1"/>
  <c r="BU11"/>
  <c r="BU12" s="1"/>
  <c r="BY11"/>
  <c r="BY12" s="1"/>
  <c r="CC11"/>
  <c r="CC12" s="1"/>
  <c r="BP11"/>
  <c r="BP12" s="1"/>
  <c r="BT11"/>
  <c r="BT12" s="1"/>
  <c r="BX11"/>
  <c r="BX12" s="1"/>
  <c r="CB11"/>
  <c r="CB12" s="1"/>
  <c r="BS11"/>
  <c r="BS12" s="1"/>
  <c r="CA11"/>
  <c r="CA12" s="1"/>
  <c r="AK13"/>
  <c r="AK14" s="1"/>
  <c r="CA15" s="1"/>
  <c r="CA17" s="1"/>
  <c r="AO13"/>
  <c r="AO14" s="1"/>
  <c r="BW15" s="1"/>
  <c r="BW17" s="1"/>
  <c r="F13"/>
  <c r="E13"/>
  <c r="G13"/>
  <c r="H13"/>
  <c r="C13"/>
  <c r="I13"/>
  <c r="D13"/>
  <c r="R6"/>
  <c r="CO5"/>
  <c r="CN5"/>
  <c r="CZ5"/>
  <c r="CQ5"/>
  <c r="CT5"/>
  <c r="CT6" s="1"/>
  <c r="AL13"/>
  <c r="AL14" s="1"/>
  <c r="BZ15" s="1"/>
  <c r="BZ17" s="1"/>
  <c r="BE12"/>
  <c r="CS5"/>
  <c r="CV5"/>
  <c r="CP5"/>
  <c r="CY5"/>
  <c r="CM5"/>
  <c r="BA12"/>
  <c r="H14" i="3584"/>
  <c r="DB15" i="3"/>
  <c r="DB17" s="1"/>
  <c r="DM3" i="1"/>
  <c r="AZ13" i="3" l="1"/>
  <c r="AZ14" s="1"/>
  <c r="BL15" s="1"/>
  <c r="BL17" s="1"/>
  <c r="BN13"/>
  <c r="BN14" s="1"/>
  <c r="BJ13"/>
  <c r="BJ14" s="1"/>
  <c r="BJ21" s="1"/>
  <c r="BJ23" s="1"/>
  <c r="BH13"/>
  <c r="BH14" s="1"/>
  <c r="BF13"/>
  <c r="BF14" s="1"/>
  <c r="BC13"/>
  <c r="BC14" s="1"/>
  <c r="BI15" s="1"/>
  <c r="BI17" s="1"/>
  <c r="BB13"/>
  <c r="BB14" s="1"/>
  <c r="BJ15" s="1"/>
  <c r="BJ17" s="1"/>
  <c r="BD13"/>
  <c r="BD14" s="1"/>
  <c r="BH15" s="1"/>
  <c r="BH17" s="1"/>
  <c r="BL13"/>
  <c r="BL14" s="1"/>
  <c r="AY13"/>
  <c r="AY14" s="1"/>
  <c r="BM15" s="1"/>
  <c r="BM17" s="1"/>
  <c r="BE13"/>
  <c r="BE14" s="1"/>
  <c r="BG15" s="1"/>
  <c r="BG17" s="1"/>
  <c r="BA13"/>
  <c r="BA14" s="1"/>
  <c r="BK15" s="1"/>
  <c r="BK17" s="1"/>
  <c r="BK13"/>
  <c r="BK14" s="1"/>
  <c r="BG13"/>
  <c r="BG14" s="1"/>
  <c r="BM13"/>
  <c r="BM14" s="1"/>
  <c r="BP13"/>
  <c r="BP14" s="1"/>
  <c r="BQ13"/>
  <c r="BQ14" s="1"/>
  <c r="CC13"/>
  <c r="CC14" s="1"/>
  <c r="BO13"/>
  <c r="BO14" s="1"/>
  <c r="CO7"/>
  <c r="CO8" s="1"/>
  <c r="CO13" s="1"/>
  <c r="CO14" s="1"/>
  <c r="CS7"/>
  <c r="CS8" s="1"/>
  <c r="CS13" s="1"/>
  <c r="CS14" s="1"/>
  <c r="CW7"/>
  <c r="CW8" s="1"/>
  <c r="DA7"/>
  <c r="DA8" s="1"/>
  <c r="CY7"/>
  <c r="CY8" s="1"/>
  <c r="CP7"/>
  <c r="CP8" s="1"/>
  <c r="CP13" s="1"/>
  <c r="CP14" s="1"/>
  <c r="CX7"/>
  <c r="CX8" s="1"/>
  <c r="CN7"/>
  <c r="CN8" s="1"/>
  <c r="CN13" s="1"/>
  <c r="CN14" s="1"/>
  <c r="CR7"/>
  <c r="CR8" s="1"/>
  <c r="CR13" s="1"/>
  <c r="CR14" s="1"/>
  <c r="CV7"/>
  <c r="CV8" s="1"/>
  <c r="CZ7"/>
  <c r="CZ8" s="1"/>
  <c r="CQ7"/>
  <c r="CQ8" s="1"/>
  <c r="CQ13" s="1"/>
  <c r="CQ14" s="1"/>
  <c r="CU7"/>
  <c r="CU8" s="1"/>
  <c r="CM7"/>
  <c r="CM8" s="1"/>
  <c r="CM13" s="1"/>
  <c r="CM14" s="1"/>
  <c r="CT7"/>
  <c r="CT8" s="1"/>
  <c r="CT13" s="1"/>
  <c r="CT14" s="1"/>
  <c r="DB7"/>
  <c r="DB8" s="1"/>
  <c r="S7"/>
  <c r="S8" s="1"/>
  <c r="S13" s="1"/>
  <c r="S14" s="1"/>
  <c r="CS15" s="1"/>
  <c r="CS17" s="1"/>
  <c r="W7"/>
  <c r="W8" s="1"/>
  <c r="W13" s="1"/>
  <c r="W14" s="1"/>
  <c r="CO15" s="1"/>
  <c r="CO17" s="1"/>
  <c r="K7"/>
  <c r="K8" s="1"/>
  <c r="K13" s="1"/>
  <c r="K14" s="1"/>
  <c r="O7"/>
  <c r="O8" s="1"/>
  <c r="O13" s="1"/>
  <c r="O14" s="1"/>
  <c r="U7"/>
  <c r="U8" s="1"/>
  <c r="U13" s="1"/>
  <c r="U14" s="1"/>
  <c r="M7"/>
  <c r="M8" s="1"/>
  <c r="M13" s="1"/>
  <c r="M14" s="1"/>
  <c r="X7"/>
  <c r="X8" s="1"/>
  <c r="X13" s="1"/>
  <c r="X14" s="1"/>
  <c r="CN15" s="1"/>
  <c r="CN17" s="1"/>
  <c r="Z7"/>
  <c r="Z8" s="1"/>
  <c r="Z13" s="1"/>
  <c r="Z14" s="1"/>
  <c r="CL15" s="1"/>
  <c r="CL17" s="1"/>
  <c r="V7"/>
  <c r="V8" s="1"/>
  <c r="V13" s="1"/>
  <c r="V14" s="1"/>
  <c r="J7"/>
  <c r="J8" s="1"/>
  <c r="N7"/>
  <c r="N8" s="1"/>
  <c r="N13" s="1"/>
  <c r="N14" s="1"/>
  <c r="R7"/>
  <c r="R8" s="1"/>
  <c r="R13" s="1"/>
  <c r="R14" s="1"/>
  <c r="CT15" s="1"/>
  <c r="CT17" s="1"/>
  <c r="Y7"/>
  <c r="Y8" s="1"/>
  <c r="Y13" s="1"/>
  <c r="Y14" s="1"/>
  <c r="CM15" s="1"/>
  <c r="CM17" s="1"/>
  <c r="Q7"/>
  <c r="Q8" s="1"/>
  <c r="Q13" s="1"/>
  <c r="Q14" s="1"/>
  <c r="CU15" s="1"/>
  <c r="CU17" s="1"/>
  <c r="T7"/>
  <c r="T8" s="1"/>
  <c r="T13" s="1"/>
  <c r="T14" s="1"/>
  <c r="CR15" s="1"/>
  <c r="CR17" s="1"/>
  <c r="L7"/>
  <c r="L8" s="1"/>
  <c r="L13" s="1"/>
  <c r="L14" s="1"/>
  <c r="P7"/>
  <c r="P8" s="1"/>
  <c r="P13" s="1"/>
  <c r="P14" s="1"/>
  <c r="CV15" s="1"/>
  <c r="CV17" s="1"/>
  <c r="BT13"/>
  <c r="BT14" s="1"/>
  <c r="BX13"/>
  <c r="BX14" s="1"/>
  <c r="CI13"/>
  <c r="CI14" s="1"/>
  <c r="CD13"/>
  <c r="CD14" s="1"/>
  <c r="CB13"/>
  <c r="CB14" s="1"/>
  <c r="CK13"/>
  <c r="CK14" s="1"/>
  <c r="BI13"/>
  <c r="BI14" s="1"/>
  <c r="CJ13"/>
  <c r="CJ14" s="1"/>
  <c r="CG13"/>
  <c r="CG14" s="1"/>
  <c r="BU13"/>
  <c r="BU14" s="1"/>
  <c r="BZ13"/>
  <c r="BZ14" s="1"/>
  <c r="BV13"/>
  <c r="BV14" s="1"/>
  <c r="BR13"/>
  <c r="BR14" s="1"/>
  <c r="CF13"/>
  <c r="CF14" s="1"/>
  <c r="CE13"/>
  <c r="CE14" s="1"/>
  <c r="BY13"/>
  <c r="BY14" s="1"/>
  <c r="BW13"/>
  <c r="BW14" s="1"/>
  <c r="CA13"/>
  <c r="CA14" s="1"/>
  <c r="BS13"/>
  <c r="BS14" s="1"/>
  <c r="CH13"/>
  <c r="CH14" s="1"/>
  <c r="CL13"/>
  <c r="CL14" s="1"/>
  <c r="CJ15"/>
  <c r="CJ17" s="1"/>
  <c r="BU15"/>
  <c r="BU17" s="1"/>
  <c r="BR15"/>
  <c r="BR17" s="1"/>
  <c r="CD15"/>
  <c r="CD17" s="1"/>
  <c r="BQ15"/>
  <c r="BQ17" s="1"/>
  <c r="BN15"/>
  <c r="BN17" s="1"/>
  <c r="BT15"/>
  <c r="BT17" s="1"/>
  <c r="DE21"/>
  <c r="DE23" s="1"/>
  <c r="DE24" s="1"/>
  <c r="DE25" s="1"/>
  <c r="DI21"/>
  <c r="DI23" s="1"/>
  <c r="DI24" s="1"/>
  <c r="DI25" s="1"/>
  <c r="DF21"/>
  <c r="DF23" s="1"/>
  <c r="DF24" s="1"/>
  <c r="DF25" s="1"/>
  <c r="DH21"/>
  <c r="DH23" s="1"/>
  <c r="DH24" s="1"/>
  <c r="DH25" s="1"/>
  <c r="DG21"/>
  <c r="DG23" s="1"/>
  <c r="DG24" s="1"/>
  <c r="DG25" s="1"/>
  <c r="DD21"/>
  <c r="DD23" s="1"/>
  <c r="DD24" s="1"/>
  <c r="DD25" s="1"/>
  <c r="DC21"/>
  <c r="DC23" s="1"/>
  <c r="DC24" s="1"/>
  <c r="DC25" s="1"/>
  <c r="BP15"/>
  <c r="BP17" s="1"/>
  <c r="CH15"/>
  <c r="CH17" s="1"/>
  <c r="CE15"/>
  <c r="CE17" s="1"/>
  <c r="BX15"/>
  <c r="BX17" s="1"/>
  <c r="BS15"/>
  <c r="BS17" s="1"/>
  <c r="BG16" l="1"/>
  <c r="BG20" s="1"/>
  <c r="BG21"/>
  <c r="BG23" s="1"/>
  <c r="CA21"/>
  <c r="CA23" s="1"/>
  <c r="CA16"/>
  <c r="CA20" s="1"/>
  <c r="BP16"/>
  <c r="BP20" s="1"/>
  <c r="BP21"/>
  <c r="BP23" s="1"/>
  <c r="CJ16"/>
  <c r="CJ20" s="1"/>
  <c r="CJ21"/>
  <c r="CJ23" s="1"/>
  <c r="CK16"/>
  <c r="CK20" s="1"/>
  <c r="CK21"/>
  <c r="CK23" s="1"/>
  <c r="BI21"/>
  <c r="BI23" s="1"/>
  <c r="BI16"/>
  <c r="BI20" s="1"/>
  <c r="BJ16"/>
  <c r="BJ20" s="1"/>
  <c r="BJ24" s="1"/>
  <c r="BJ25" s="1"/>
  <c r="BQ21"/>
  <c r="BQ23" s="1"/>
  <c r="BQ16"/>
  <c r="BQ20" s="1"/>
  <c r="CH21"/>
  <c r="CH23" s="1"/>
  <c r="CH16"/>
  <c r="CH20" s="1"/>
  <c r="BU21"/>
  <c r="BU23" s="1"/>
  <c r="BU16"/>
  <c r="BU20" s="1"/>
  <c r="CL16"/>
  <c r="CL20" s="1"/>
  <c r="CL21"/>
  <c r="CL23" s="1"/>
  <c r="BL21"/>
  <c r="BL23" s="1"/>
  <c r="BL16"/>
  <c r="BL20" s="1"/>
  <c r="BF16"/>
  <c r="BF21"/>
  <c r="BF23" s="1"/>
  <c r="BF15"/>
  <c r="BF17" s="1"/>
  <c r="CM21"/>
  <c r="CM23" s="1"/>
  <c r="CM16"/>
  <c r="CM20" s="1"/>
  <c r="CT16"/>
  <c r="CT20" s="1"/>
  <c r="CQ21"/>
  <c r="CQ23" s="1"/>
  <c r="CQ16"/>
  <c r="CP15"/>
  <c r="CP17" s="1"/>
  <c r="CQ15"/>
  <c r="CQ17" s="1"/>
  <c r="CS21"/>
  <c r="CS23" s="1"/>
  <c r="CS16"/>
  <c r="CS20" s="1"/>
  <c r="CT21"/>
  <c r="CT23" s="1"/>
  <c r="CX15"/>
  <c r="CX17" s="1"/>
  <c r="CW15"/>
  <c r="CW17" s="1"/>
  <c r="CZ15"/>
  <c r="CZ17" s="1"/>
  <c r="DA15"/>
  <c r="DA17" s="1"/>
  <c r="CY15"/>
  <c r="CY17" s="1"/>
  <c r="CR21"/>
  <c r="CR23" s="1"/>
  <c r="CR16"/>
  <c r="CR20" s="1"/>
  <c r="CJ24" l="1"/>
  <c r="CJ25" s="1"/>
  <c r="BU24"/>
  <c r="BU25" s="1"/>
  <c r="BQ24"/>
  <c r="BQ25" s="1"/>
  <c r="CI16"/>
  <c r="CI20" s="1"/>
  <c r="CI21"/>
  <c r="CI23" s="1"/>
  <c r="BW16"/>
  <c r="BW20" s="1"/>
  <c r="BW21"/>
  <c r="BW23" s="1"/>
  <c r="BT21"/>
  <c r="BT23" s="1"/>
  <c r="BT16"/>
  <c r="BT20" s="1"/>
  <c r="CO16"/>
  <c r="CO20" s="1"/>
  <c r="CO21"/>
  <c r="CO23" s="1"/>
  <c r="BS21"/>
  <c r="BS23" s="1"/>
  <c r="BS16"/>
  <c r="BS20" s="1"/>
  <c r="BK21"/>
  <c r="BK23" s="1"/>
  <c r="BK16"/>
  <c r="BK20" s="1"/>
  <c r="CN21"/>
  <c r="CN23" s="1"/>
  <c r="CN16"/>
  <c r="CN20" s="1"/>
  <c r="BX21"/>
  <c r="BX23" s="1"/>
  <c r="BX16"/>
  <c r="BX20" s="1"/>
  <c r="CF16"/>
  <c r="CF20" s="1"/>
  <c r="CF21"/>
  <c r="CF23" s="1"/>
  <c r="CG21"/>
  <c r="CG23" s="1"/>
  <c r="CG16"/>
  <c r="CG20" s="1"/>
  <c r="BZ16"/>
  <c r="BZ20" s="1"/>
  <c r="BZ21"/>
  <c r="BZ23" s="1"/>
  <c r="BM16"/>
  <c r="BM20" s="1"/>
  <c r="BM21"/>
  <c r="BM23" s="1"/>
  <c r="CD16"/>
  <c r="CD20" s="1"/>
  <c r="CD21"/>
  <c r="CD23" s="1"/>
  <c r="CE16"/>
  <c r="CE20" s="1"/>
  <c r="CE21"/>
  <c r="CE23" s="1"/>
  <c r="CB21"/>
  <c r="CB23" s="1"/>
  <c r="CB16"/>
  <c r="CB20" s="1"/>
  <c r="BH16"/>
  <c r="BH20" s="1"/>
  <c r="BH21"/>
  <c r="BH23" s="1"/>
  <c r="CL24"/>
  <c r="CL25" s="1"/>
  <c r="CK24"/>
  <c r="CK25" s="1"/>
  <c r="BP24"/>
  <c r="BP25" s="1"/>
  <c r="BG24"/>
  <c r="BG25" s="1"/>
  <c r="BY21"/>
  <c r="BY23" s="1"/>
  <c r="BY16"/>
  <c r="BY20" s="1"/>
  <c r="BR16"/>
  <c r="BR20" s="1"/>
  <c r="BR21"/>
  <c r="BR23" s="1"/>
  <c r="CC16"/>
  <c r="CC20" s="1"/>
  <c r="CC21"/>
  <c r="CC23" s="1"/>
  <c r="BN21"/>
  <c r="BN23" s="1"/>
  <c r="BN16"/>
  <c r="BN20" s="1"/>
  <c r="BV16"/>
  <c r="BV20" s="1"/>
  <c r="BV21"/>
  <c r="BV23" s="1"/>
  <c r="BO21"/>
  <c r="BO23" s="1"/>
  <c r="BO16"/>
  <c r="BO20" s="1"/>
  <c r="CM24"/>
  <c r="CM25" s="1"/>
  <c r="BF20"/>
  <c r="BF24" s="1"/>
  <c r="BF25" s="1"/>
  <c r="BL24"/>
  <c r="BL25" s="1"/>
  <c r="CH24"/>
  <c r="CH25" s="1"/>
  <c r="BI24"/>
  <c r="BI25" s="1"/>
  <c r="CA24"/>
  <c r="CA25" s="1"/>
  <c r="CQ20"/>
  <c r="CQ24" s="1"/>
  <c r="CQ25" s="1"/>
  <c r="CP21"/>
  <c r="CP23" s="1"/>
  <c r="CP16"/>
  <c r="CP20" s="1"/>
  <c r="CR24"/>
  <c r="CR25" s="1"/>
  <c r="CT24"/>
  <c r="CT25" s="1"/>
  <c r="CS24"/>
  <c r="CS25" s="1"/>
  <c r="BR24" l="1"/>
  <c r="BR25" s="1"/>
  <c r="BH24"/>
  <c r="BH25" s="1"/>
  <c r="CE24"/>
  <c r="CE25" s="1"/>
  <c r="BM24"/>
  <c r="BM25" s="1"/>
  <c r="BX24"/>
  <c r="BX25" s="1"/>
  <c r="CO24"/>
  <c r="CO25" s="1"/>
  <c r="BW24"/>
  <c r="BW25" s="1"/>
  <c r="CB24"/>
  <c r="CB25" s="1"/>
  <c r="BZ24"/>
  <c r="BZ25" s="1"/>
  <c r="CN24"/>
  <c r="CN25" s="1"/>
  <c r="BS24"/>
  <c r="BS25" s="1"/>
  <c r="BT24"/>
  <c r="BT25" s="1"/>
  <c r="CI24"/>
  <c r="CI25" s="1"/>
  <c r="BV24"/>
  <c r="BV25" s="1"/>
  <c r="CC24"/>
  <c r="CC25" s="1"/>
  <c r="BY24"/>
  <c r="BY25" s="1"/>
  <c r="CG24"/>
  <c r="CG25" s="1"/>
  <c r="BK24"/>
  <c r="BK25" s="1"/>
  <c r="CD24"/>
  <c r="CD25" s="1"/>
  <c r="CF24"/>
  <c r="CF25" s="1"/>
  <c r="BO24"/>
  <c r="BO25" s="1"/>
  <c r="BN24"/>
  <c r="BN25" s="1"/>
  <c r="CP24"/>
  <c r="CP25" s="1"/>
  <c r="DB10" l="1"/>
  <c r="DB11" s="1"/>
  <c r="DB12" s="1"/>
  <c r="DB13" s="1"/>
  <c r="DB14" s="1"/>
  <c r="CZ9"/>
  <c r="DA9"/>
  <c r="CX9"/>
  <c r="CY9"/>
  <c r="CW9"/>
  <c r="CU9"/>
  <c r="CV9"/>
  <c r="DB16" l="1"/>
  <c r="DB20" s="1"/>
  <c r="DB21"/>
  <c r="DB23" s="1"/>
  <c r="CU11"/>
  <c r="CU12" s="1"/>
  <c r="CU13" s="1"/>
  <c r="CU14" s="1"/>
  <c r="CX11"/>
  <c r="CX12" s="1"/>
  <c r="CX13" s="1"/>
  <c r="CX14" s="1"/>
  <c r="CV11"/>
  <c r="CV12" s="1"/>
  <c r="CV13" s="1"/>
  <c r="CV14" s="1"/>
  <c r="DA11"/>
  <c r="DA12" s="1"/>
  <c r="DA13" s="1"/>
  <c r="DA14" s="1"/>
  <c r="CZ11"/>
  <c r="CZ12" s="1"/>
  <c r="CZ13" s="1"/>
  <c r="CZ14" s="1"/>
  <c r="CY11"/>
  <c r="CY12" s="1"/>
  <c r="CY13" s="1"/>
  <c r="CY14" s="1"/>
  <c r="CW11"/>
  <c r="CW12" s="1"/>
  <c r="CW13" s="1"/>
  <c r="CW14" s="1"/>
  <c r="DB24" l="1"/>
  <c r="DB25" s="1"/>
  <c r="CW21"/>
  <c r="CW23" s="1"/>
  <c r="CW16"/>
  <c r="CW20" s="1"/>
  <c r="CV16"/>
  <c r="CV20" s="1"/>
  <c r="CV21"/>
  <c r="CV23" s="1"/>
  <c r="DA16"/>
  <c r="DA20" s="1"/>
  <c r="DA21"/>
  <c r="DA23" s="1"/>
  <c r="CX21"/>
  <c r="CX23" s="1"/>
  <c r="CX16"/>
  <c r="CX20" s="1"/>
  <c r="CZ16"/>
  <c r="CZ20" s="1"/>
  <c r="CZ21"/>
  <c r="CZ23" s="1"/>
  <c r="CU21"/>
  <c r="CU23" s="1"/>
  <c r="CU16"/>
  <c r="CU20" s="1"/>
  <c r="CY21"/>
  <c r="CY23" s="1"/>
  <c r="CY16"/>
  <c r="CY20" s="1"/>
  <c r="CY24" l="1"/>
  <c r="CY25" s="1"/>
  <c r="CW24"/>
  <c r="CW25" s="1"/>
  <c r="CV24"/>
  <c r="CV25" s="1"/>
  <c r="CZ24"/>
  <c r="CZ25" s="1"/>
  <c r="DA24"/>
  <c r="DA25" s="1"/>
  <c r="CU24"/>
  <c r="CU25" s="1"/>
  <c r="CX24"/>
  <c r="CX25" s="1"/>
</calcChain>
</file>

<file path=xl/sharedStrings.xml><?xml version="1.0" encoding="utf-8"?>
<sst xmlns="http://schemas.openxmlformats.org/spreadsheetml/2006/main" count="130" uniqueCount="89">
  <si>
    <t>Site</t>
  </si>
  <si>
    <t>Gain</t>
  </si>
  <si>
    <t>Gain/Gain max</t>
  </si>
  <si>
    <t>Degrés</t>
  </si>
  <si>
    <t>Grades</t>
  </si>
  <si>
    <t>D</t>
  </si>
  <si>
    <t>Z</t>
  </si>
  <si>
    <t>Sin(s)</t>
  </si>
  <si>
    <t>D(dB/km)</t>
  </si>
  <si>
    <r>
      <t>D</t>
    </r>
    <r>
      <rPr>
        <b/>
        <vertAlign val="subscript"/>
        <sz val="10"/>
        <rFont val="Arial"/>
        <family val="2"/>
      </rPr>
      <t>O</t>
    </r>
  </si>
  <si>
    <t>Gain Interpolé</t>
  </si>
  <si>
    <t>Site degrés</t>
  </si>
  <si>
    <t>Sin(S)</t>
  </si>
  <si>
    <t>Sin (feuille)</t>
  </si>
  <si>
    <t>Rac (G2/g1)</t>
  </si>
  <si>
    <t>Rac (G1)</t>
  </si>
  <si>
    <t>Rac(G2)</t>
  </si>
  <si>
    <t>D en km</t>
  </si>
  <si>
    <t>D en dB/km</t>
  </si>
  <si>
    <t>D feuille</t>
  </si>
  <si>
    <t>Z mètres</t>
  </si>
  <si>
    <t>z</t>
  </si>
  <si>
    <t>d</t>
  </si>
  <si>
    <t>(S/B) : en db</t>
  </si>
  <si>
    <t>F : en dB</t>
  </si>
  <si>
    <t>L : en dB</t>
  </si>
  <si>
    <r>
      <t>l</t>
    </r>
    <r>
      <rPr>
        <vertAlign val="superscript"/>
        <sz val="12"/>
        <rFont val="Symbol"/>
        <family val="1"/>
        <charset val="2"/>
      </rPr>
      <t>2</t>
    </r>
  </si>
  <si>
    <r>
      <t>G</t>
    </r>
    <r>
      <rPr>
        <vertAlign val="superscript"/>
        <sz val="12"/>
        <rFont val="Arial"/>
        <family val="2"/>
      </rPr>
      <t>2</t>
    </r>
  </si>
  <si>
    <r>
      <t xml:space="preserve">l : </t>
    </r>
    <r>
      <rPr>
        <b/>
        <sz val="12"/>
        <color indexed="21"/>
        <rFont val="Arial"/>
        <family val="2"/>
      </rPr>
      <t>en m</t>
    </r>
  </si>
  <si>
    <r>
      <t xml:space="preserve">s : </t>
    </r>
    <r>
      <rPr>
        <b/>
        <sz val="12"/>
        <color indexed="21"/>
        <rFont val="Arial"/>
        <family val="2"/>
      </rPr>
      <t>en m</t>
    </r>
    <r>
      <rPr>
        <b/>
        <vertAlign val="superscript"/>
        <sz val="12"/>
        <color indexed="21"/>
        <rFont val="Arial"/>
        <family val="2"/>
      </rPr>
      <t>2</t>
    </r>
  </si>
  <si>
    <r>
      <t>(4p)</t>
    </r>
    <r>
      <rPr>
        <b/>
        <vertAlign val="superscript"/>
        <sz val="12"/>
        <color indexed="48"/>
        <rFont val="Symbol"/>
        <family val="1"/>
        <charset val="2"/>
      </rPr>
      <t>3</t>
    </r>
  </si>
  <si>
    <r>
      <t>k.T</t>
    </r>
    <r>
      <rPr>
        <b/>
        <vertAlign val="subscript"/>
        <sz val="12"/>
        <color indexed="48"/>
        <rFont val="Arial"/>
        <family val="2"/>
      </rPr>
      <t>0</t>
    </r>
  </si>
  <si>
    <r>
      <t>D</t>
    </r>
    <r>
      <rPr>
        <b/>
        <vertAlign val="superscript"/>
        <sz val="12"/>
        <rFont val="Arial"/>
        <family val="2"/>
      </rPr>
      <t>4</t>
    </r>
    <r>
      <rPr>
        <b/>
        <sz val="12"/>
        <rFont val="Arial"/>
        <family val="2"/>
      </rPr>
      <t xml:space="preserve"> en db</t>
    </r>
  </si>
  <si>
    <t>D en db =</t>
  </si>
  <si>
    <t>D en km =</t>
  </si>
  <si>
    <t>Numérateur</t>
  </si>
  <si>
    <t>Dénominateur</t>
  </si>
  <si>
    <r>
      <t>G</t>
    </r>
    <r>
      <rPr>
        <b/>
        <vertAlign val="subscript"/>
        <sz val="12"/>
        <color indexed="21"/>
        <rFont val="Arial"/>
        <family val="2"/>
      </rPr>
      <t>max</t>
    </r>
    <r>
      <rPr>
        <b/>
        <sz val="12"/>
        <color indexed="21"/>
        <rFont val="Arial"/>
        <family val="2"/>
      </rPr>
      <t xml:space="preserve"> : en db</t>
    </r>
  </si>
  <si>
    <r>
      <t>D</t>
    </r>
    <r>
      <rPr>
        <b/>
        <vertAlign val="subscript"/>
        <sz val="10"/>
        <rFont val="Arial"/>
        <family val="2"/>
      </rPr>
      <t>O km</t>
    </r>
  </si>
  <si>
    <r>
      <t>(S/B)</t>
    </r>
    <r>
      <rPr>
        <b/>
        <vertAlign val="subscript"/>
        <sz val="10"/>
        <rFont val="Arial"/>
        <family val="2"/>
      </rPr>
      <t>O dB</t>
    </r>
  </si>
  <si>
    <r>
      <t>Z</t>
    </r>
    <r>
      <rPr>
        <b/>
        <vertAlign val="subscript"/>
        <sz val="10"/>
        <rFont val="Arial"/>
        <family val="2"/>
      </rPr>
      <t>v mètres</t>
    </r>
  </si>
  <si>
    <t>Zv en km</t>
  </si>
  <si>
    <r>
      <t>(Sin(s))</t>
    </r>
    <r>
      <rPr>
        <vertAlign val="superscript"/>
        <sz val="9"/>
        <rFont val="Arial"/>
        <family val="2"/>
      </rPr>
      <t>2</t>
    </r>
  </si>
  <si>
    <t>2*Z/R</t>
  </si>
  <si>
    <t>Rac((Sin(s))2+2Z/R)</t>
  </si>
  <si>
    <t>Dv</t>
  </si>
  <si>
    <t>(S/B)v</t>
  </si>
  <si>
    <t>(S/B)0</t>
  </si>
  <si>
    <r>
      <t>D +présence D</t>
    </r>
    <r>
      <rPr>
        <vertAlign val="subscript"/>
        <sz val="9"/>
        <rFont val="Arial"/>
        <family val="2"/>
      </rPr>
      <t>0</t>
    </r>
  </si>
  <si>
    <t>présence D0</t>
  </si>
  <si>
    <r>
      <t>P</t>
    </r>
    <r>
      <rPr>
        <b/>
        <vertAlign val="subscript"/>
        <sz val="12"/>
        <color indexed="21"/>
        <rFont val="Arial"/>
        <family val="2"/>
      </rPr>
      <t>c</t>
    </r>
    <r>
      <rPr>
        <b/>
        <sz val="12"/>
        <color indexed="21"/>
        <rFont val="Arial"/>
        <family val="2"/>
      </rPr>
      <t xml:space="preserve"> : en kW</t>
    </r>
  </si>
  <si>
    <r>
      <t xml:space="preserve">t : </t>
    </r>
    <r>
      <rPr>
        <b/>
        <sz val="12"/>
        <color indexed="21"/>
        <rFont val="Arial"/>
        <family val="2"/>
      </rPr>
      <t xml:space="preserve">en </t>
    </r>
    <r>
      <rPr>
        <b/>
        <sz val="12"/>
        <color indexed="21"/>
        <rFont val="Symbol"/>
        <family val="1"/>
        <charset val="2"/>
      </rPr>
      <t>m</t>
    </r>
    <r>
      <rPr>
        <b/>
        <sz val="12"/>
        <color indexed="21"/>
        <rFont val="Arial"/>
        <family val="2"/>
      </rPr>
      <t>sec</t>
    </r>
  </si>
  <si>
    <t>Longueur d'onde</t>
  </si>
  <si>
    <t>Hauteur d'antenne</t>
  </si>
  <si>
    <t>Pas des feuilles °</t>
  </si>
  <si>
    <t>Oui</t>
  </si>
  <si>
    <t>Non</t>
  </si>
  <si>
    <t>Oui ?</t>
  </si>
  <si>
    <t>Site radian</t>
  </si>
  <si>
    <t>Gain sites négatifs</t>
  </si>
  <si>
    <t>Site Degrès</t>
  </si>
  <si>
    <t>Gain de l'antenne</t>
  </si>
  <si>
    <t>Delta Site</t>
  </si>
  <si>
    <t>Chute au sol</t>
  </si>
  <si>
    <t xml:space="preserve"> (site 0 degrès)</t>
  </si>
  <si>
    <t>dB</t>
  </si>
  <si>
    <t>Lin Pairs</t>
  </si>
  <si>
    <t>Lin impairs</t>
  </si>
  <si>
    <t>correction</t>
  </si>
  <si>
    <t>total 1</t>
  </si>
  <si>
    <t>delta -2</t>
  </si>
  <si>
    <t>delta -1</t>
  </si>
  <si>
    <t>total 2</t>
  </si>
  <si>
    <r>
      <t>(G/G</t>
    </r>
    <r>
      <rPr>
        <b/>
        <vertAlign val="subscript"/>
        <sz val="11"/>
        <color theme="0"/>
        <rFont val="Arial"/>
        <family val="2"/>
      </rPr>
      <t>max)</t>
    </r>
    <r>
      <rPr>
        <b/>
        <sz val="11"/>
        <color theme="0"/>
        <rFont val="Arial"/>
        <family val="2"/>
      </rPr>
      <t xml:space="preserve"> en dB</t>
    </r>
  </si>
  <si>
    <t>Combinaison des deux effets (évaluation)</t>
  </si>
  <si>
    <t>Bruit thermique seul</t>
  </si>
  <si>
    <r>
      <t>D</t>
    </r>
    <r>
      <rPr>
        <b/>
        <vertAlign val="superscript"/>
        <sz val="12"/>
        <rFont val="Arial"/>
        <family val="2"/>
      </rPr>
      <t>2</t>
    </r>
    <r>
      <rPr>
        <b/>
        <sz val="12"/>
        <rFont val="Arial"/>
        <family val="2"/>
      </rPr>
      <t xml:space="preserve"> en db</t>
    </r>
  </si>
  <si>
    <t>non</t>
  </si>
  <si>
    <t>oui</t>
  </si>
  <si>
    <t>Brouillage seul</t>
  </si>
  <si>
    <r>
      <t>G</t>
    </r>
    <r>
      <rPr>
        <b/>
        <vertAlign val="subscript"/>
        <sz val="12"/>
        <color indexed="48"/>
        <rFont val="Arial"/>
        <family val="2"/>
      </rPr>
      <t>B</t>
    </r>
    <r>
      <rPr>
        <b/>
        <sz val="12"/>
        <color indexed="48"/>
        <rFont val="Arial"/>
        <family val="2"/>
      </rPr>
      <t xml:space="preserve"> : en dB</t>
    </r>
  </si>
  <si>
    <t>Portée du radar  en km =</t>
  </si>
  <si>
    <r>
      <t>b</t>
    </r>
    <r>
      <rPr>
        <b/>
        <vertAlign val="subscript"/>
        <sz val="12"/>
        <color indexed="48"/>
        <rFont val="Arial"/>
        <family val="2"/>
      </rPr>
      <t>B</t>
    </r>
    <r>
      <rPr>
        <b/>
        <sz val="12"/>
        <color indexed="48"/>
        <rFont val="Arial"/>
        <family val="2"/>
      </rPr>
      <t>: En W/Hz</t>
    </r>
  </si>
  <si>
    <r>
      <t>D</t>
    </r>
    <r>
      <rPr>
        <b/>
        <sz val="12"/>
        <color indexed="12"/>
        <rFont val="Arial"/>
        <family val="2"/>
      </rPr>
      <t>F en MHz</t>
    </r>
  </si>
  <si>
    <r>
      <t xml:space="preserve">a </t>
    </r>
    <r>
      <rPr>
        <b/>
        <sz val="12"/>
        <color indexed="48"/>
        <rFont val="Arial"/>
        <family val="2"/>
      </rPr>
      <t>: en dB</t>
    </r>
  </si>
  <si>
    <t>P brouilleur  : en W</t>
  </si>
  <si>
    <t>N</t>
  </si>
  <si>
    <r>
      <t>L'</t>
    </r>
    <r>
      <rPr>
        <b/>
        <sz val="12"/>
        <color indexed="48"/>
        <rFont val="Symbol"/>
        <family val="1"/>
        <charset val="2"/>
      </rPr>
      <t xml:space="preserve"> </t>
    </r>
    <r>
      <rPr>
        <b/>
        <sz val="12"/>
        <color indexed="48"/>
        <rFont val="Arial"/>
        <family val="2"/>
      </rPr>
      <t>: en dB</t>
    </r>
  </si>
  <si>
    <r>
      <t xml:space="preserve">4p : </t>
    </r>
    <r>
      <rPr>
        <b/>
        <sz val="12"/>
        <color indexed="48"/>
        <rFont val="Arial"/>
        <family val="2"/>
      </rPr>
      <t>en dB</t>
    </r>
  </si>
</sst>
</file>

<file path=xl/styles.xml><?xml version="1.0" encoding="utf-8"?>
<styleSheet xmlns="http://schemas.openxmlformats.org/spreadsheetml/2006/main">
  <numFmts count="5">
    <numFmt numFmtId="164" formatCode="0.0"/>
    <numFmt numFmtId="165" formatCode="0.000"/>
    <numFmt numFmtId="166" formatCode="0.0E+00"/>
    <numFmt numFmtId="167" formatCode="0.E+00"/>
    <numFmt numFmtId="168" formatCode="0.0000"/>
  </numFmts>
  <fonts count="71">
    <font>
      <sz val="10"/>
      <name val="Arial"/>
    </font>
    <font>
      <sz val="8"/>
      <name val="Arial"/>
      <family val="2"/>
    </font>
    <font>
      <sz val="7"/>
      <name val="Arial"/>
      <family val="2"/>
    </font>
    <font>
      <sz val="9"/>
      <color indexed="16"/>
      <name val="Arial"/>
      <family val="2"/>
    </font>
    <font>
      <b/>
      <sz val="10"/>
      <color indexed="17"/>
      <name val="Arial"/>
      <family val="2"/>
    </font>
    <font>
      <b/>
      <sz val="10"/>
      <name val="Arial"/>
      <family val="2"/>
    </font>
    <font>
      <sz val="10"/>
      <name val="Arial"/>
      <family val="2"/>
    </font>
    <font>
      <b/>
      <sz val="12"/>
      <name val="Arial"/>
      <family val="2"/>
    </font>
    <font>
      <sz val="12"/>
      <name val="Arial"/>
      <family val="2"/>
    </font>
    <font>
      <sz val="9"/>
      <name val="Arial"/>
      <family val="2"/>
    </font>
    <font>
      <b/>
      <vertAlign val="subscript"/>
      <sz val="10"/>
      <name val="Arial"/>
      <family val="2"/>
    </font>
    <font>
      <sz val="7"/>
      <color indexed="10"/>
      <name val="Arial"/>
      <family val="2"/>
    </font>
    <font>
      <sz val="12"/>
      <name val="Arial"/>
      <family val="2"/>
    </font>
    <font>
      <sz val="12"/>
      <name val="Symbol"/>
      <family val="1"/>
      <charset val="2"/>
    </font>
    <font>
      <vertAlign val="superscript"/>
      <sz val="12"/>
      <name val="Arial"/>
      <family val="2"/>
    </font>
    <font>
      <vertAlign val="superscript"/>
      <sz val="12"/>
      <name val="Symbol"/>
      <family val="1"/>
      <charset val="2"/>
    </font>
    <font>
      <b/>
      <sz val="12"/>
      <name val="Arial"/>
      <family val="2"/>
    </font>
    <font>
      <b/>
      <sz val="12"/>
      <color indexed="21"/>
      <name val="Arial"/>
      <family val="2"/>
    </font>
    <font>
      <b/>
      <sz val="12"/>
      <color indexed="21"/>
      <name val="Symbol"/>
      <family val="1"/>
      <charset val="2"/>
    </font>
    <font>
      <b/>
      <sz val="12"/>
      <color indexed="21"/>
      <name val="Arial"/>
      <family val="2"/>
    </font>
    <font>
      <b/>
      <vertAlign val="superscript"/>
      <sz val="12"/>
      <color indexed="21"/>
      <name val="Arial"/>
      <family val="2"/>
    </font>
    <font>
      <b/>
      <sz val="12"/>
      <color indexed="48"/>
      <name val="Symbol"/>
      <family val="1"/>
      <charset val="2"/>
    </font>
    <font>
      <b/>
      <vertAlign val="superscript"/>
      <sz val="12"/>
      <color indexed="48"/>
      <name val="Symbol"/>
      <family val="1"/>
      <charset val="2"/>
    </font>
    <font>
      <b/>
      <sz val="12"/>
      <color indexed="48"/>
      <name val="Arial"/>
      <family val="2"/>
    </font>
    <font>
      <b/>
      <vertAlign val="subscript"/>
      <sz val="12"/>
      <color indexed="48"/>
      <name val="Arial"/>
      <family val="2"/>
    </font>
    <font>
      <b/>
      <vertAlign val="superscript"/>
      <sz val="12"/>
      <name val="Arial"/>
      <family val="2"/>
    </font>
    <font>
      <sz val="12"/>
      <color indexed="10"/>
      <name val="Arial"/>
      <family val="2"/>
    </font>
    <font>
      <b/>
      <sz val="12"/>
      <color indexed="48"/>
      <name val="Arial"/>
      <family val="2"/>
    </font>
    <font>
      <b/>
      <vertAlign val="subscript"/>
      <sz val="12"/>
      <color indexed="21"/>
      <name val="Arial"/>
      <family val="2"/>
    </font>
    <font>
      <vertAlign val="superscript"/>
      <sz val="9"/>
      <name val="Arial"/>
      <family val="2"/>
    </font>
    <font>
      <vertAlign val="subscript"/>
      <sz val="9"/>
      <name val="Arial"/>
      <family val="2"/>
    </font>
    <font>
      <sz val="7"/>
      <color indexed="9"/>
      <name val="Arial"/>
      <family val="2"/>
    </font>
    <font>
      <sz val="10"/>
      <color indexed="17"/>
      <name val="Arial"/>
      <family val="2"/>
    </font>
    <font>
      <sz val="11"/>
      <name val="Arial"/>
      <family val="2"/>
    </font>
    <font>
      <b/>
      <sz val="9"/>
      <color indexed="16"/>
      <name val="Arial"/>
      <family val="2"/>
    </font>
    <font>
      <b/>
      <sz val="9"/>
      <color indexed="17"/>
      <name val="Arial"/>
      <family val="2"/>
    </font>
    <font>
      <b/>
      <sz val="10"/>
      <color indexed="8"/>
      <name val="Arial"/>
      <family val="2"/>
    </font>
    <font>
      <sz val="7"/>
      <color theme="1"/>
      <name val="Arial"/>
      <family val="2"/>
    </font>
    <font>
      <sz val="8"/>
      <color theme="1"/>
      <name val="Arial"/>
      <family val="2"/>
    </font>
    <font>
      <b/>
      <sz val="10"/>
      <color rgb="FFFF0000"/>
      <name val="Arial"/>
      <family val="2"/>
    </font>
    <font>
      <sz val="10"/>
      <color theme="8" tint="-0.249977111117893"/>
      <name val="Arial"/>
      <family val="2"/>
    </font>
    <font>
      <b/>
      <sz val="10"/>
      <color rgb="FF00B050"/>
      <name val="Arial"/>
      <family val="2"/>
    </font>
    <font>
      <sz val="9"/>
      <color theme="1"/>
      <name val="Arial"/>
      <family val="2"/>
    </font>
    <font>
      <b/>
      <sz val="11"/>
      <color indexed="10"/>
      <name val="Arial"/>
      <family val="2"/>
    </font>
    <font>
      <sz val="7"/>
      <color theme="0"/>
      <name val="Arial"/>
      <family val="2"/>
    </font>
    <font>
      <b/>
      <sz val="7"/>
      <color theme="0"/>
      <name val="Arial"/>
      <family val="2"/>
    </font>
    <font>
      <sz val="6"/>
      <color theme="0"/>
      <name val="Arial"/>
      <family val="2"/>
    </font>
    <font>
      <sz val="9"/>
      <color theme="0"/>
      <name val="Arial"/>
      <family val="2"/>
    </font>
    <font>
      <sz val="10"/>
      <color rgb="FFC00000"/>
      <name val="Arial"/>
      <family val="2"/>
    </font>
    <font>
      <sz val="8"/>
      <color rgb="FFC00000"/>
      <name val="Arial"/>
      <family val="2"/>
    </font>
    <font>
      <b/>
      <sz val="9"/>
      <color rgb="FFC00000"/>
      <name val="Arial"/>
      <family val="2"/>
    </font>
    <font>
      <sz val="10"/>
      <color rgb="FFFF0000"/>
      <name val="Arial"/>
      <family val="2"/>
    </font>
    <font>
      <sz val="8"/>
      <color rgb="FFFF0000"/>
      <name val="Arial"/>
      <family val="2"/>
    </font>
    <font>
      <sz val="12"/>
      <color rgb="FFFF0000"/>
      <name val="Arial"/>
      <family val="2"/>
    </font>
    <font>
      <sz val="10"/>
      <color rgb="FF00B050"/>
      <name val="Arial"/>
      <family val="2"/>
    </font>
    <font>
      <sz val="12"/>
      <color rgb="FF00B050"/>
      <name val="Arial"/>
      <family val="2"/>
    </font>
    <font>
      <sz val="8"/>
      <color rgb="FF00B050"/>
      <name val="Arial"/>
      <family val="2"/>
    </font>
    <font>
      <b/>
      <sz val="9"/>
      <color rgb="FF00B050"/>
      <name val="Arial"/>
      <family val="2"/>
    </font>
    <font>
      <sz val="7"/>
      <color rgb="FF00B050"/>
      <name val="Arial"/>
      <family val="2"/>
    </font>
    <font>
      <sz val="11"/>
      <color rgb="FF00B050"/>
      <name val="Arial"/>
      <family val="2"/>
    </font>
    <font>
      <sz val="10"/>
      <color theme="0"/>
      <name val="Arial"/>
      <family val="2"/>
    </font>
    <font>
      <b/>
      <sz val="10"/>
      <color theme="0"/>
      <name val="Arial"/>
      <family val="2"/>
    </font>
    <font>
      <b/>
      <sz val="9"/>
      <color theme="0"/>
      <name val="Arial"/>
      <family val="2"/>
    </font>
    <font>
      <sz val="8"/>
      <color theme="0"/>
      <name val="Arial"/>
      <family val="2"/>
    </font>
    <font>
      <b/>
      <sz val="11"/>
      <color theme="0"/>
      <name val="Arial"/>
      <family val="2"/>
    </font>
    <font>
      <b/>
      <vertAlign val="subscript"/>
      <sz val="11"/>
      <color theme="0"/>
      <name val="Arial"/>
      <family val="2"/>
    </font>
    <font>
      <b/>
      <sz val="12"/>
      <color indexed="10"/>
      <name val="Arial"/>
      <family val="2"/>
    </font>
    <font>
      <b/>
      <sz val="12"/>
      <color indexed="17"/>
      <name val="Arial"/>
      <family val="2"/>
    </font>
    <font>
      <b/>
      <sz val="12"/>
      <color indexed="12"/>
      <name val="Symbol"/>
      <family val="1"/>
      <charset val="2"/>
    </font>
    <font>
      <b/>
      <sz val="12"/>
      <color indexed="12"/>
      <name val="Arial"/>
      <family val="2"/>
    </font>
    <font>
      <b/>
      <sz val="11"/>
      <color indexed="12"/>
      <name val="Arial"/>
      <family val="2"/>
    </font>
  </fonts>
  <fills count="7">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rgb="FFCDFFFF"/>
        <bgColor indexed="64"/>
      </patternFill>
    </fill>
  </fills>
  <borders count="2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s>
  <cellStyleXfs count="2">
    <xf numFmtId="0" fontId="0" fillId="0" borderId="0"/>
    <xf numFmtId="0" fontId="6" fillId="0" borderId="0"/>
  </cellStyleXfs>
  <cellXfs count="214">
    <xf numFmtId="0" fontId="0" fillId="0" borderId="0" xfId="0"/>
    <xf numFmtId="164" fontId="2" fillId="0" borderId="0" xfId="0" applyNumberFormat="1" applyFont="1" applyAlignment="1" applyProtection="1">
      <alignment vertical="center"/>
    </xf>
    <xf numFmtId="0" fontId="3" fillId="0" borderId="1" xfId="0" applyFont="1" applyBorder="1" applyAlignment="1">
      <alignment horizontal="center" vertical="center"/>
    </xf>
    <xf numFmtId="0" fontId="0" fillId="0" borderId="0" xfId="0" applyAlignment="1">
      <alignment horizontal="center"/>
    </xf>
    <xf numFmtId="2" fontId="0" fillId="0" borderId="0" xfId="0" applyNumberFormat="1"/>
    <xf numFmtId="1" fontId="0" fillId="0" borderId="0" xfId="0" applyNumberFormat="1"/>
    <xf numFmtId="0" fontId="9" fillId="0" borderId="1" xfId="0" applyFont="1" applyBorder="1"/>
    <xf numFmtId="0" fontId="9" fillId="0" borderId="3" xfId="0" applyFont="1" applyBorder="1"/>
    <xf numFmtId="165" fontId="9" fillId="0" borderId="3" xfId="0" applyNumberFormat="1" applyFont="1" applyBorder="1" applyAlignment="1">
      <alignment horizontal="center"/>
    </xf>
    <xf numFmtId="2" fontId="9" fillId="0" borderId="3" xfId="0" applyNumberFormat="1" applyFont="1" applyBorder="1" applyAlignment="1">
      <alignment horizontal="center"/>
    </xf>
    <xf numFmtId="1" fontId="9" fillId="0" borderId="3" xfId="0" applyNumberFormat="1" applyFont="1" applyBorder="1"/>
    <xf numFmtId="1" fontId="9" fillId="0" borderId="3" xfId="0" applyNumberFormat="1" applyFont="1" applyBorder="1" applyAlignment="1">
      <alignment horizontal="center"/>
    </xf>
    <xf numFmtId="1" fontId="9" fillId="0" borderId="2" xfId="0" applyNumberFormat="1" applyFont="1" applyBorder="1"/>
    <xf numFmtId="1" fontId="9" fillId="0" borderId="2" xfId="0" applyNumberFormat="1" applyFont="1" applyBorder="1" applyAlignment="1">
      <alignment horizontal="center"/>
    </xf>
    <xf numFmtId="2" fontId="9" fillId="0" borderId="3" xfId="0" applyNumberFormat="1" applyFont="1" applyBorder="1"/>
    <xf numFmtId="0" fontId="5" fillId="2" borderId="4" xfId="0" applyFont="1" applyFill="1" applyBorder="1" applyAlignment="1">
      <alignment horizontal="center" vertical="center"/>
    </xf>
    <xf numFmtId="164" fontId="7" fillId="3" borderId="4" xfId="0" applyNumberFormat="1" applyFont="1" applyFill="1" applyBorder="1" applyAlignment="1" applyProtection="1">
      <alignment horizontal="center" vertical="center"/>
      <protection locked="0"/>
    </xf>
    <xf numFmtId="164" fontId="2" fillId="0" borderId="0" xfId="0" applyNumberFormat="1" applyFont="1" applyBorder="1" applyAlignment="1" applyProtection="1">
      <alignment vertical="center"/>
    </xf>
    <xf numFmtId="1" fontId="9" fillId="0" borderId="0" xfId="0" applyNumberFormat="1" applyFont="1" applyBorder="1" applyAlignment="1">
      <alignment horizontal="center"/>
    </xf>
    <xf numFmtId="164" fontId="11" fillId="0" borderId="0" xfId="0" applyNumberFormat="1" applyFont="1" applyAlignment="1" applyProtection="1">
      <alignment vertical="center"/>
    </xf>
    <xf numFmtId="0" fontId="12" fillId="0" borderId="0" xfId="0" applyFont="1"/>
    <xf numFmtId="0" fontId="12" fillId="0" borderId="0" xfId="0" applyFont="1" applyAlignment="1">
      <alignment horizontal="center"/>
    </xf>
    <xf numFmtId="0" fontId="12" fillId="0" borderId="0" xfId="0" applyFont="1" applyAlignment="1">
      <alignment vertical="center"/>
    </xf>
    <xf numFmtId="164" fontId="12" fillId="0" borderId="0" xfId="0" applyNumberFormat="1" applyFont="1" applyAlignment="1">
      <alignment horizontal="center"/>
    </xf>
    <xf numFmtId="164" fontId="12" fillId="0" borderId="0" xfId="0" applyNumberFormat="1" applyFont="1" applyAlignment="1">
      <alignment horizontal="center" vertical="center"/>
    </xf>
    <xf numFmtId="0" fontId="13" fillId="0" borderId="5" xfId="0" applyFont="1" applyBorder="1" applyAlignment="1">
      <alignment horizontal="center" vertical="center"/>
    </xf>
    <xf numFmtId="0" fontId="12" fillId="0" borderId="0" xfId="0" applyFont="1" applyAlignment="1">
      <alignment horizontal="center" vertical="center"/>
    </xf>
    <xf numFmtId="0" fontId="16" fillId="0" borderId="0" xfId="0" applyFont="1" applyAlignment="1">
      <alignment horizontal="center"/>
    </xf>
    <xf numFmtId="0" fontId="17" fillId="0" borderId="6" xfId="0" applyFont="1" applyBorder="1" applyAlignment="1">
      <alignment horizontal="center" vertical="center"/>
    </xf>
    <xf numFmtId="0" fontId="17" fillId="0" borderId="0" xfId="0" applyFont="1" applyAlignment="1">
      <alignment horizontal="center"/>
    </xf>
    <xf numFmtId="0" fontId="18" fillId="0" borderId="6" xfId="0" applyFont="1" applyBorder="1" applyAlignment="1">
      <alignment horizontal="center" vertical="center"/>
    </xf>
    <xf numFmtId="0" fontId="21" fillId="0" borderId="6" xfId="0" applyFont="1" applyBorder="1" applyAlignment="1">
      <alignment horizontal="center" vertical="center"/>
    </xf>
    <xf numFmtId="0" fontId="23" fillId="0" borderId="0" xfId="0" applyFont="1" applyAlignment="1">
      <alignment horizontal="center"/>
    </xf>
    <xf numFmtId="0" fontId="23" fillId="0" borderId="6" xfId="0" applyFont="1" applyBorder="1" applyAlignment="1">
      <alignment horizontal="center" vertical="center"/>
    </xf>
    <xf numFmtId="164" fontId="7" fillId="0" borderId="0" xfId="0" applyNumberFormat="1" applyFont="1" applyAlignment="1">
      <alignment horizontal="center"/>
    </xf>
    <xf numFmtId="164" fontId="7" fillId="0" borderId="0" xfId="0" applyNumberFormat="1" applyFont="1" applyAlignment="1">
      <alignment horizontal="center" vertical="center"/>
    </xf>
    <xf numFmtId="2" fontId="12" fillId="0" borderId="0" xfId="0" applyNumberFormat="1" applyFont="1" applyAlignment="1">
      <alignment horizontal="right"/>
    </xf>
    <xf numFmtId="2" fontId="12" fillId="0" borderId="7" xfId="0" applyNumberFormat="1" applyFont="1" applyBorder="1" applyAlignment="1">
      <alignment horizontal="right" vertical="center"/>
    </xf>
    <xf numFmtId="2" fontId="7" fillId="0" borderId="7" xfId="0" applyNumberFormat="1" applyFont="1" applyBorder="1" applyAlignment="1">
      <alignment horizontal="right"/>
    </xf>
    <xf numFmtId="0" fontId="7" fillId="0" borderId="7" xfId="0" applyFont="1" applyBorder="1" applyAlignment="1">
      <alignment horizontal="center"/>
    </xf>
    <xf numFmtId="164" fontId="7" fillId="0" borderId="6" xfId="0" applyNumberFormat="1" applyFont="1" applyBorder="1" applyAlignment="1">
      <alignment horizontal="right" vertical="center"/>
    </xf>
    <xf numFmtId="164" fontId="7" fillId="0" borderId="8" xfId="0" applyNumberFormat="1" applyFont="1" applyBorder="1" applyAlignment="1">
      <alignment horizontal="center" vertical="center"/>
    </xf>
    <xf numFmtId="1" fontId="7" fillId="0" borderId="8" xfId="0" applyNumberFormat="1" applyFont="1" applyBorder="1" applyAlignment="1">
      <alignment horizontal="center" vertical="center"/>
    </xf>
    <xf numFmtId="0" fontId="0" fillId="0" borderId="0" xfId="0" applyBorder="1" applyAlignment="1">
      <alignment horizontal="center"/>
    </xf>
    <xf numFmtId="0" fontId="7" fillId="4" borderId="7" xfId="0" applyFont="1" applyFill="1" applyBorder="1" applyAlignment="1" applyProtection="1">
      <alignment horizontal="center" vertical="center"/>
      <protection locked="0"/>
    </xf>
    <xf numFmtId="0" fontId="26" fillId="0" borderId="8" xfId="0" applyFont="1" applyBorder="1" applyAlignment="1">
      <alignment horizontal="center" vertical="center"/>
    </xf>
    <xf numFmtId="1" fontId="26" fillId="0" borderId="8" xfId="0" applyNumberFormat="1" applyFont="1" applyBorder="1" applyAlignment="1">
      <alignment horizontal="center" vertical="center"/>
    </xf>
    <xf numFmtId="0" fontId="19" fillId="0" borderId="0" xfId="0" applyFont="1" applyAlignment="1">
      <alignment horizontal="center" vertical="center"/>
    </xf>
    <xf numFmtId="0" fontId="27" fillId="0" borderId="0" xfId="0" applyFont="1" applyAlignment="1">
      <alignment horizontal="center" vertical="center"/>
    </xf>
    <xf numFmtId="1" fontId="5" fillId="2" borderId="4" xfId="0" applyNumberFormat="1" applyFont="1" applyFill="1" applyBorder="1" applyAlignment="1" applyProtection="1">
      <alignment horizontal="center" vertical="center"/>
      <protection locked="0"/>
    </xf>
    <xf numFmtId="0" fontId="0" fillId="0" borderId="0" xfId="0" applyProtection="1"/>
    <xf numFmtId="0" fontId="5" fillId="5" borderId="4" xfId="0" applyFont="1" applyFill="1" applyBorder="1" applyAlignment="1">
      <alignment horizontal="center" vertical="center"/>
    </xf>
    <xf numFmtId="164" fontId="5" fillId="5" borderId="4" xfId="0" applyNumberFormat="1" applyFont="1" applyFill="1" applyBorder="1" applyAlignment="1" applyProtection="1">
      <alignment horizontal="center" vertical="center"/>
    </xf>
    <xf numFmtId="0" fontId="5" fillId="5" borderId="4" xfId="0" applyFont="1" applyFill="1" applyBorder="1" applyAlignment="1" applyProtection="1">
      <alignment horizontal="center" vertical="center"/>
    </xf>
    <xf numFmtId="1" fontId="5" fillId="5" borderId="4" xfId="0" applyNumberFormat="1" applyFont="1" applyFill="1" applyBorder="1" applyAlignment="1" applyProtection="1">
      <alignment horizontal="center" vertical="center"/>
    </xf>
    <xf numFmtId="1" fontId="5" fillId="5" borderId="4" xfId="0" applyNumberFormat="1" applyFont="1" applyFill="1" applyBorder="1" applyAlignment="1" applyProtection="1">
      <alignment horizontal="center" vertical="center"/>
      <protection locked="0"/>
    </xf>
    <xf numFmtId="168" fontId="9" fillId="0" borderId="3" xfId="0" applyNumberFormat="1" applyFont="1" applyBorder="1"/>
    <xf numFmtId="168" fontId="9" fillId="0" borderId="3" xfId="0" applyNumberFormat="1" applyFont="1" applyBorder="1" applyAlignment="1">
      <alignment horizontal="center"/>
    </xf>
    <xf numFmtId="168" fontId="0" fillId="0" borderId="0" xfId="0" applyNumberFormat="1"/>
    <xf numFmtId="0" fontId="9" fillId="0" borderId="0" xfId="0" applyFont="1" applyBorder="1"/>
    <xf numFmtId="0" fontId="3" fillId="0" borderId="0" xfId="0" applyFont="1" applyBorder="1" applyAlignment="1">
      <alignment horizontal="center" vertical="center"/>
    </xf>
    <xf numFmtId="0" fontId="0" fillId="0" borderId="0" xfId="0" applyBorder="1"/>
    <xf numFmtId="165" fontId="9" fillId="0" borderId="0" xfId="0" applyNumberFormat="1" applyFont="1" applyBorder="1" applyAlignment="1">
      <alignment horizontal="center"/>
    </xf>
    <xf numFmtId="2" fontId="9" fillId="0" borderId="0" xfId="0" applyNumberFormat="1" applyFont="1" applyBorder="1"/>
    <xf numFmtId="2" fontId="9" fillId="0" borderId="0" xfId="0" applyNumberFormat="1" applyFont="1" applyBorder="1" applyAlignment="1">
      <alignment horizontal="center"/>
    </xf>
    <xf numFmtId="2" fontId="0" fillId="0" borderId="0" xfId="0" applyNumberFormat="1" applyBorder="1"/>
    <xf numFmtId="1" fontId="9" fillId="0" borderId="0" xfId="0" applyNumberFormat="1" applyFont="1" applyBorder="1"/>
    <xf numFmtId="1" fontId="0" fillId="0" borderId="0" xfId="0" applyNumberFormat="1" applyBorder="1"/>
    <xf numFmtId="167" fontId="9" fillId="0" borderId="0" xfId="0" applyNumberFormat="1" applyFont="1" applyBorder="1" applyAlignment="1">
      <alignment horizontal="center"/>
    </xf>
    <xf numFmtId="164" fontId="9" fillId="0" borderId="0" xfId="0" applyNumberFormat="1" applyFont="1" applyBorder="1"/>
    <xf numFmtId="164" fontId="9" fillId="0" borderId="0" xfId="0" applyNumberFormat="1" applyFont="1" applyBorder="1" applyAlignment="1">
      <alignment horizontal="center"/>
    </xf>
    <xf numFmtId="164" fontId="0" fillId="0" borderId="0" xfId="0" applyNumberFormat="1" applyBorder="1"/>
    <xf numFmtId="0" fontId="12" fillId="2" borderId="8" xfId="0" applyFont="1" applyFill="1" applyBorder="1" applyAlignment="1" applyProtection="1">
      <alignment horizontal="center" vertical="center"/>
      <protection locked="0"/>
    </xf>
    <xf numFmtId="164" fontId="31" fillId="0" borderId="0" xfId="0" applyNumberFormat="1" applyFont="1" applyAlignment="1" applyProtection="1">
      <alignment vertical="center"/>
    </xf>
    <xf numFmtId="164" fontId="2" fillId="0" borderId="4" xfId="0" applyNumberFormat="1" applyFont="1" applyBorder="1" applyAlignment="1" applyProtection="1">
      <alignment vertical="center"/>
    </xf>
    <xf numFmtId="0" fontId="8" fillId="0" borderId="0" xfId="0" applyFont="1" applyAlignment="1">
      <alignment horizontal="center"/>
    </xf>
    <xf numFmtId="1" fontId="33" fillId="0" borderId="0" xfId="0" applyNumberFormat="1" applyFont="1" applyBorder="1" applyAlignment="1" applyProtection="1">
      <alignment horizontal="center" vertical="center"/>
    </xf>
    <xf numFmtId="164" fontId="8" fillId="0" borderId="0" xfId="0" applyNumberFormat="1" applyFont="1" applyBorder="1" applyAlignment="1" applyProtection="1">
      <alignment horizontal="center" vertical="center"/>
    </xf>
    <xf numFmtId="164" fontId="37" fillId="0" borderId="0" xfId="0" applyNumberFormat="1" applyFont="1" applyBorder="1" applyAlignment="1" applyProtection="1">
      <alignment vertical="center"/>
    </xf>
    <xf numFmtId="164" fontId="37" fillId="0" borderId="0" xfId="0" applyNumberFormat="1" applyFont="1" applyAlignment="1" applyProtection="1">
      <alignment vertical="center"/>
    </xf>
    <xf numFmtId="164" fontId="38" fillId="0" borderId="0" xfId="0" applyNumberFormat="1" applyFont="1" applyBorder="1" applyProtection="1"/>
    <xf numFmtId="0" fontId="35" fillId="0" borderId="2" xfId="0" applyFont="1" applyBorder="1" applyAlignment="1" applyProtection="1">
      <alignment horizontal="center" vertical="center"/>
      <protection locked="0"/>
    </xf>
    <xf numFmtId="0" fontId="0" fillId="0" borderId="0" xfId="0" applyAlignment="1" applyProtection="1">
      <alignment horizontal="center"/>
    </xf>
    <xf numFmtId="0" fontId="1" fillId="0" borderId="0" xfId="0" applyFont="1" applyAlignment="1" applyProtection="1">
      <alignment horizontal="center"/>
    </xf>
    <xf numFmtId="0" fontId="0" fillId="0" borderId="0" xfId="0" applyBorder="1" applyAlignment="1" applyProtection="1">
      <alignment horizontal="center"/>
    </xf>
    <xf numFmtId="0" fontId="6" fillId="0" borderId="0" xfId="0" applyFont="1" applyProtection="1"/>
    <xf numFmtId="0" fontId="8" fillId="0" borderId="0" xfId="0" applyFont="1" applyAlignment="1" applyProtection="1">
      <alignment horizontal="center"/>
    </xf>
    <xf numFmtId="0" fontId="8" fillId="0" borderId="0" xfId="0" applyFont="1" applyAlignment="1" applyProtection="1">
      <alignment horizontal="center" vertical="center"/>
    </xf>
    <xf numFmtId="0" fontId="0" fillId="0" borderId="0" xfId="0" applyBorder="1" applyProtection="1"/>
    <xf numFmtId="0" fontId="8" fillId="0" borderId="0" xfId="0" applyFont="1" applyAlignment="1" applyProtection="1">
      <alignment vertical="center"/>
    </xf>
    <xf numFmtId="0" fontId="34" fillId="0" borderId="4" xfId="0" applyFont="1" applyBorder="1" applyAlignment="1" applyProtection="1">
      <alignment horizontal="center" vertical="center"/>
    </xf>
    <xf numFmtId="0" fontId="32" fillId="0" borderId="0" xfId="0" applyFont="1" applyBorder="1" applyAlignment="1" applyProtection="1">
      <alignment horizontal="center"/>
      <protection locked="0"/>
    </xf>
    <xf numFmtId="0" fontId="0" fillId="3" borderId="0" xfId="0" applyFill="1" applyBorder="1" applyAlignment="1" applyProtection="1">
      <alignment horizontal="center"/>
      <protection locked="0"/>
    </xf>
    <xf numFmtId="164" fontId="1" fillId="0" borderId="0" xfId="0" applyNumberFormat="1" applyFont="1" applyBorder="1" applyProtection="1"/>
    <xf numFmtId="0" fontId="40" fillId="0" borderId="0" xfId="0" applyFont="1" applyFill="1" applyBorder="1" applyAlignment="1" applyProtection="1">
      <alignment horizontal="center"/>
    </xf>
    <xf numFmtId="164" fontId="41" fillId="3" borderId="7" xfId="0" applyNumberFormat="1" applyFont="1" applyFill="1" applyBorder="1" applyAlignment="1" applyProtection="1">
      <alignment horizontal="center" vertical="center"/>
      <protection locked="0"/>
    </xf>
    <xf numFmtId="2" fontId="4" fillId="0" borderId="4" xfId="0" applyNumberFormat="1" applyFont="1" applyBorder="1" applyAlignment="1" applyProtection="1">
      <alignment horizontal="center"/>
    </xf>
    <xf numFmtId="164" fontId="6" fillId="0" borderId="11" xfId="0" applyNumberFormat="1" applyFont="1" applyBorder="1" applyAlignment="1" applyProtection="1">
      <alignment vertical="center"/>
    </xf>
    <xf numFmtId="164" fontId="2" fillId="0" borderId="12" xfId="0" applyNumberFormat="1" applyFont="1" applyBorder="1" applyAlignment="1" applyProtection="1">
      <alignment vertical="center"/>
    </xf>
    <xf numFmtId="164" fontId="6" fillId="0" borderId="14" xfId="0" applyNumberFormat="1" applyFont="1" applyBorder="1" applyAlignment="1" applyProtection="1">
      <alignment vertical="center"/>
    </xf>
    <xf numFmtId="164" fontId="9" fillId="0" borderId="16" xfId="0" applyNumberFormat="1" applyFont="1" applyBorder="1" applyAlignment="1" applyProtection="1">
      <alignment vertical="center"/>
    </xf>
    <xf numFmtId="164" fontId="2" fillId="0" borderId="17" xfId="0" applyNumberFormat="1" applyFont="1" applyBorder="1" applyAlignment="1" applyProtection="1">
      <alignment vertical="center"/>
    </xf>
    <xf numFmtId="164" fontId="2" fillId="0" borderId="18" xfId="0" applyNumberFormat="1" applyFont="1" applyBorder="1" applyAlignment="1" applyProtection="1">
      <alignment vertical="center"/>
    </xf>
    <xf numFmtId="164" fontId="42" fillId="0" borderId="11" xfId="0" applyNumberFormat="1" applyFont="1" applyBorder="1" applyAlignment="1" applyProtection="1">
      <alignment horizontal="center" vertical="center"/>
    </xf>
    <xf numFmtId="0" fontId="32" fillId="0" borderId="16" xfId="0" applyFont="1" applyBorder="1" applyAlignment="1" applyProtection="1">
      <alignment horizontal="center"/>
      <protection locked="0"/>
    </xf>
    <xf numFmtId="2" fontId="4" fillId="0" borderId="20" xfId="0" applyNumberFormat="1" applyFont="1" applyBorder="1" applyAlignment="1" applyProtection="1">
      <alignment horizontal="center"/>
    </xf>
    <xf numFmtId="2" fontId="4" fillId="0" borderId="0" xfId="0" applyNumberFormat="1" applyFont="1" applyBorder="1" applyAlignment="1" applyProtection="1">
      <alignment horizontal="center"/>
    </xf>
    <xf numFmtId="164" fontId="39" fillId="0" borderId="13" xfId="0" applyNumberFormat="1" applyFont="1" applyBorder="1" applyAlignment="1" applyProtection="1">
      <alignment horizontal="center"/>
      <protection locked="0"/>
    </xf>
    <xf numFmtId="164" fontId="43" fillId="0" borderId="19" xfId="0" applyNumberFormat="1" applyFont="1" applyBorder="1" applyAlignment="1" applyProtection="1">
      <alignment horizontal="center" vertical="center"/>
    </xf>
    <xf numFmtId="164" fontId="36" fillId="0" borderId="13" xfId="0" applyNumberFormat="1" applyFont="1" applyFill="1" applyBorder="1" applyAlignment="1" applyProtection="1">
      <alignment horizontal="center" vertical="center"/>
    </xf>
    <xf numFmtId="2" fontId="36" fillId="0" borderId="15" xfId="0" applyNumberFormat="1" applyFont="1" applyBorder="1" applyAlignment="1" applyProtection="1">
      <alignment horizontal="center" vertical="center"/>
    </xf>
    <xf numFmtId="2" fontId="44" fillId="0" borderId="0" xfId="0" applyNumberFormat="1" applyFont="1" applyBorder="1" applyAlignment="1" applyProtection="1">
      <alignment vertical="center"/>
    </xf>
    <xf numFmtId="2" fontId="45" fillId="0" borderId="0" xfId="0" applyNumberFormat="1" applyFont="1" applyAlignment="1" applyProtection="1">
      <alignment vertical="center"/>
    </xf>
    <xf numFmtId="2" fontId="44" fillId="0" borderId="0" xfId="0" applyNumberFormat="1" applyFont="1" applyAlignment="1" applyProtection="1">
      <alignment vertical="center"/>
    </xf>
    <xf numFmtId="164" fontId="44" fillId="0" borderId="0" xfId="0" applyNumberFormat="1" applyFont="1" applyBorder="1" applyAlignment="1" applyProtection="1">
      <alignment vertical="center"/>
    </xf>
    <xf numFmtId="164" fontId="45" fillId="0" borderId="0" xfId="0" applyNumberFormat="1" applyFont="1" applyAlignment="1" applyProtection="1">
      <alignment vertical="center"/>
    </xf>
    <xf numFmtId="164" fontId="44" fillId="0" borderId="0" xfId="0" applyNumberFormat="1" applyFont="1" applyAlignment="1" applyProtection="1">
      <alignment vertical="center"/>
    </xf>
    <xf numFmtId="166" fontId="44" fillId="0" borderId="0" xfId="0" applyNumberFormat="1" applyFont="1" applyAlignment="1" applyProtection="1">
      <alignment vertical="center"/>
    </xf>
    <xf numFmtId="164" fontId="46" fillId="0" borderId="0" xfId="0" applyNumberFormat="1" applyFont="1" applyAlignment="1" applyProtection="1">
      <alignment vertical="center"/>
    </xf>
    <xf numFmtId="1" fontId="44" fillId="0" borderId="0" xfId="0" applyNumberFormat="1" applyFont="1" applyAlignment="1" applyProtection="1">
      <alignment horizontal="center" vertical="center"/>
    </xf>
    <xf numFmtId="164" fontId="44" fillId="0" borderId="0" xfId="0" applyNumberFormat="1" applyFont="1" applyBorder="1" applyAlignment="1" applyProtection="1">
      <alignment horizontal="center" vertical="center"/>
    </xf>
    <xf numFmtId="1" fontId="47" fillId="0" borderId="0" xfId="0" applyNumberFormat="1" applyFont="1" applyAlignment="1" applyProtection="1">
      <alignment horizontal="center" vertical="center"/>
    </xf>
    <xf numFmtId="1" fontId="47" fillId="0" borderId="0" xfId="0" applyNumberFormat="1" applyFont="1" applyBorder="1" applyAlignment="1">
      <alignment horizontal="center"/>
    </xf>
    <xf numFmtId="164" fontId="46" fillId="0" borderId="0" xfId="0" applyNumberFormat="1" applyFont="1" applyBorder="1" applyAlignment="1" applyProtection="1">
      <alignment vertical="center"/>
    </xf>
    <xf numFmtId="2" fontId="41" fillId="6" borderId="7" xfId="0" applyNumberFormat="1"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48" fillId="0" borderId="0" xfId="0" applyFont="1" applyProtection="1"/>
    <xf numFmtId="0" fontId="48" fillId="0" borderId="0" xfId="0" applyFont="1" applyAlignment="1" applyProtection="1">
      <alignment horizontal="center"/>
    </xf>
    <xf numFmtId="0" fontId="49" fillId="0" borderId="0" xfId="0" applyFont="1" applyAlignment="1" applyProtection="1">
      <alignment horizontal="center"/>
    </xf>
    <xf numFmtId="0" fontId="48" fillId="0" borderId="0" xfId="0" applyFont="1" applyBorder="1" applyAlignment="1" applyProtection="1">
      <alignment horizontal="center"/>
    </xf>
    <xf numFmtId="0" fontId="48" fillId="0" borderId="0" xfId="0" applyFont="1" applyBorder="1" applyProtection="1"/>
    <xf numFmtId="0" fontId="49" fillId="0" borderId="0" xfId="0" applyFont="1" applyBorder="1" applyAlignment="1" applyProtection="1">
      <alignment horizontal="center"/>
    </xf>
    <xf numFmtId="2" fontId="45" fillId="0" borderId="0" xfId="0" applyNumberFormat="1" applyFont="1" applyBorder="1" applyAlignment="1" applyProtection="1">
      <alignment vertical="center"/>
    </xf>
    <xf numFmtId="164" fontId="45" fillId="0" borderId="0" xfId="0" applyNumberFormat="1" applyFont="1" applyBorder="1" applyAlignment="1" applyProtection="1">
      <alignment vertical="center"/>
    </xf>
    <xf numFmtId="0" fontId="52" fillId="0" borderId="0" xfId="0" applyFont="1" applyBorder="1" applyAlignment="1" applyProtection="1">
      <alignment horizontal="center"/>
    </xf>
    <xf numFmtId="0" fontId="52" fillId="0" borderId="0" xfId="0" applyFont="1" applyAlignment="1" applyProtection="1">
      <alignment horizontal="center"/>
    </xf>
    <xf numFmtId="0" fontId="53" fillId="0" borderId="0" xfId="0" applyFont="1" applyAlignment="1" applyProtection="1">
      <alignment horizontal="center" vertical="center"/>
    </xf>
    <xf numFmtId="0" fontId="51" fillId="0" borderId="0" xfId="0" applyFont="1" applyBorder="1" applyProtection="1"/>
    <xf numFmtId="0" fontId="51" fillId="0" borderId="0" xfId="0" applyFont="1" applyProtection="1"/>
    <xf numFmtId="0" fontId="53" fillId="0" borderId="0" xfId="0" applyFont="1" applyAlignment="1" applyProtection="1">
      <alignment vertical="center"/>
    </xf>
    <xf numFmtId="0" fontId="54" fillId="0" borderId="0" xfId="0" applyFont="1" applyBorder="1" applyProtection="1"/>
    <xf numFmtId="0" fontId="54" fillId="0" borderId="0" xfId="0" applyFont="1" applyProtection="1"/>
    <xf numFmtId="0" fontId="55" fillId="0" borderId="0" xfId="0" applyFont="1" applyAlignment="1" applyProtection="1">
      <alignment vertical="center"/>
    </xf>
    <xf numFmtId="0" fontId="56" fillId="0" borderId="0" xfId="0" applyFont="1" applyBorder="1" applyAlignment="1" applyProtection="1">
      <alignment horizontal="center"/>
    </xf>
    <xf numFmtId="0" fontId="56" fillId="0" borderId="0" xfId="0" applyFont="1" applyAlignment="1" applyProtection="1">
      <alignment horizontal="center"/>
    </xf>
    <xf numFmtId="0" fontId="55" fillId="0" borderId="0" xfId="0" applyFont="1" applyAlignment="1" applyProtection="1">
      <alignment horizontal="center" vertical="center"/>
    </xf>
    <xf numFmtId="0" fontId="57" fillId="0" borderId="4" xfId="0" applyFont="1" applyBorder="1" applyAlignment="1" applyProtection="1">
      <alignment horizontal="center" vertical="center"/>
    </xf>
    <xf numFmtId="0" fontId="57" fillId="0" borderId="2" xfId="0" applyFont="1" applyBorder="1" applyAlignment="1" applyProtection="1">
      <alignment horizontal="center" vertical="center"/>
      <protection locked="0"/>
    </xf>
    <xf numFmtId="0" fontId="50" fillId="0" borderId="4" xfId="0" applyFont="1" applyBorder="1" applyAlignment="1" applyProtection="1">
      <alignment horizontal="center" vertical="center"/>
    </xf>
    <xf numFmtId="164" fontId="58" fillId="0" borderId="0" xfId="0" applyNumberFormat="1" applyFont="1" applyAlignment="1" applyProtection="1">
      <alignment vertical="center"/>
    </xf>
    <xf numFmtId="1" fontId="59" fillId="0" borderId="0" xfId="0" applyNumberFormat="1" applyFont="1" applyBorder="1" applyAlignment="1" applyProtection="1">
      <alignment horizontal="center" vertical="center"/>
    </xf>
    <xf numFmtId="164" fontId="6" fillId="0" borderId="21" xfId="0" applyNumberFormat="1" applyFont="1" applyBorder="1" applyAlignment="1" applyProtection="1">
      <alignment vertical="center"/>
    </xf>
    <xf numFmtId="164" fontId="6" fillId="0" borderId="10" xfId="0" applyNumberFormat="1" applyFont="1" applyBorder="1" applyAlignment="1" applyProtection="1">
      <alignment vertical="center"/>
    </xf>
    <xf numFmtId="164" fontId="9" fillId="0" borderId="22" xfId="0" applyNumberFormat="1" applyFont="1" applyBorder="1" applyAlignment="1" applyProtection="1">
      <alignment vertical="center"/>
    </xf>
    <xf numFmtId="164" fontId="42" fillId="0" borderId="21" xfId="0" applyNumberFormat="1" applyFont="1" applyBorder="1" applyAlignment="1" applyProtection="1">
      <alignment horizontal="center" vertical="center"/>
    </xf>
    <xf numFmtId="0" fontId="32" fillId="0" borderId="22" xfId="0" applyFont="1" applyBorder="1" applyAlignment="1" applyProtection="1">
      <alignment horizontal="center"/>
      <protection locked="0"/>
    </xf>
    <xf numFmtId="164" fontId="7" fillId="3" borderId="0" xfId="0" applyNumberFormat="1" applyFont="1" applyFill="1" applyBorder="1" applyAlignment="1" applyProtection="1">
      <alignment horizontal="center" vertical="center"/>
      <protection locked="0"/>
    </xf>
    <xf numFmtId="0" fontId="60" fillId="0" borderId="0" xfId="0" applyFont="1" applyBorder="1" applyAlignment="1" applyProtection="1">
      <alignment horizontal="center"/>
    </xf>
    <xf numFmtId="0" fontId="61" fillId="0" borderId="0" xfId="0" applyFont="1" applyBorder="1" applyAlignment="1" applyProtection="1">
      <alignment horizontal="center" vertical="center"/>
    </xf>
    <xf numFmtId="0" fontId="47" fillId="0" borderId="0" xfId="0" applyFont="1" applyBorder="1" applyAlignment="1" applyProtection="1">
      <alignment horizontal="center" vertical="center"/>
    </xf>
    <xf numFmtId="0" fontId="62" fillId="0" borderId="0" xfId="0" applyFont="1" applyBorder="1" applyAlignment="1" applyProtection="1">
      <alignment horizontal="center" vertical="center"/>
    </xf>
    <xf numFmtId="0" fontId="60" fillId="0" borderId="0" xfId="0" applyFont="1" applyBorder="1" applyProtection="1"/>
    <xf numFmtId="2" fontId="60" fillId="0" borderId="0" xfId="0" applyNumberFormat="1" applyFont="1" applyBorder="1" applyAlignment="1" applyProtection="1">
      <alignment horizontal="center"/>
    </xf>
    <xf numFmtId="164" fontId="47" fillId="0" borderId="0" xfId="0" applyNumberFormat="1" applyFont="1" applyBorder="1" applyAlignment="1" applyProtection="1">
      <alignment horizontal="center" vertical="center"/>
    </xf>
    <xf numFmtId="164" fontId="62" fillId="0" borderId="0" xfId="0" applyNumberFormat="1" applyFont="1" applyBorder="1" applyAlignment="1" applyProtection="1">
      <alignment horizontal="center" vertical="center"/>
    </xf>
    <xf numFmtId="0" fontId="63" fillId="0" borderId="0" xfId="0" applyFont="1" applyBorder="1" applyProtection="1"/>
    <xf numFmtId="0" fontId="63" fillId="0" borderId="0" xfId="0" applyFont="1" applyBorder="1" applyAlignment="1" applyProtection="1">
      <alignment horizontal="center"/>
    </xf>
    <xf numFmtId="0" fontId="64" fillId="0" borderId="0" xfId="0" applyFont="1" applyBorder="1" applyAlignment="1" applyProtection="1">
      <alignment horizontal="center" vertical="center"/>
    </xf>
    <xf numFmtId="0" fontId="61" fillId="0" borderId="0" xfId="0" applyFont="1" applyBorder="1" applyAlignment="1" applyProtection="1">
      <alignment vertical="center"/>
    </xf>
    <xf numFmtId="0" fontId="8" fillId="0" borderId="0" xfId="1" applyFont="1" applyAlignment="1">
      <alignment vertical="center"/>
    </xf>
    <xf numFmtId="164" fontId="8" fillId="0" borderId="0" xfId="1" applyNumberFormat="1" applyFont="1" applyAlignment="1">
      <alignment horizontal="center" vertical="center"/>
    </xf>
    <xf numFmtId="164" fontId="7" fillId="0" borderId="0" xfId="1" applyNumberFormat="1" applyFont="1" applyAlignment="1">
      <alignment horizontal="center" vertical="center"/>
    </xf>
    <xf numFmtId="2" fontId="8" fillId="0" borderId="0" xfId="1" applyNumberFormat="1" applyFont="1" applyAlignment="1">
      <alignment horizontal="right" vertical="center"/>
    </xf>
    <xf numFmtId="0" fontId="8" fillId="0" borderId="0" xfId="1" applyFont="1" applyAlignment="1">
      <alignment horizontal="center" vertical="center"/>
    </xf>
    <xf numFmtId="0" fontId="7" fillId="0" borderId="0" xfId="1" applyFont="1" applyAlignment="1">
      <alignment horizontal="center" vertical="center"/>
    </xf>
    <xf numFmtId="1" fontId="66" fillId="0" borderId="8" xfId="1" applyNumberFormat="1" applyFont="1" applyBorder="1" applyAlignment="1">
      <alignment horizontal="center" vertical="center"/>
    </xf>
    <xf numFmtId="164" fontId="66" fillId="0" borderId="23" xfId="1" applyNumberFormat="1" applyFont="1" applyBorder="1" applyAlignment="1">
      <alignment horizontal="right" vertical="center"/>
    </xf>
    <xf numFmtId="164" fontId="66" fillId="0" borderId="24" xfId="1" applyNumberFormat="1" applyFont="1" applyBorder="1" applyAlignment="1">
      <alignment horizontal="center" vertical="center"/>
    </xf>
    <xf numFmtId="2" fontId="26" fillId="0" borderId="24" xfId="1" applyNumberFormat="1" applyFont="1" applyBorder="1" applyAlignment="1">
      <alignment horizontal="right" vertical="center"/>
    </xf>
    <xf numFmtId="0" fontId="26" fillId="0" borderId="25" xfId="1" applyFont="1" applyBorder="1" applyAlignment="1">
      <alignment horizontal="center" vertical="center"/>
    </xf>
    <xf numFmtId="166" fontId="8" fillId="0" borderId="0" xfId="1" applyNumberFormat="1" applyFont="1" applyAlignment="1">
      <alignment horizontal="center" vertical="center"/>
    </xf>
    <xf numFmtId="0" fontId="6" fillId="0" borderId="0" xfId="1" applyAlignment="1">
      <alignment vertical="center"/>
    </xf>
    <xf numFmtId="1" fontId="67" fillId="0" borderId="8" xfId="1" applyNumberFormat="1" applyFont="1" applyBorder="1" applyAlignment="1">
      <alignment horizontal="center" vertical="center"/>
    </xf>
    <xf numFmtId="164" fontId="67" fillId="0" borderId="6" xfId="1" applyNumberFormat="1" applyFont="1" applyBorder="1" applyAlignment="1">
      <alignment horizontal="right" vertical="center"/>
    </xf>
    <xf numFmtId="2" fontId="7" fillId="0" borderId="7" xfId="1" applyNumberFormat="1" applyFont="1" applyBorder="1" applyAlignment="1">
      <alignment horizontal="right" vertical="center"/>
    </xf>
    <xf numFmtId="0" fontId="3" fillId="0" borderId="5" xfId="1" applyFont="1" applyBorder="1" applyAlignment="1">
      <alignment horizontal="center" vertical="center"/>
    </xf>
    <xf numFmtId="0" fontId="7" fillId="0" borderId="7" xfId="1" applyFont="1" applyBorder="1" applyAlignment="1">
      <alignment horizontal="center" vertical="center"/>
    </xf>
    <xf numFmtId="0" fontId="7" fillId="4" borderId="7" xfId="1" applyFont="1" applyFill="1" applyBorder="1" applyAlignment="1" applyProtection="1">
      <alignment horizontal="center" vertical="center"/>
      <protection locked="0"/>
    </xf>
    <xf numFmtId="1" fontId="7" fillId="0" borderId="8" xfId="1" applyNumberFormat="1" applyFont="1" applyBorder="1" applyAlignment="1">
      <alignment horizontal="center" vertical="center"/>
    </xf>
    <xf numFmtId="164" fontId="7" fillId="0" borderId="6" xfId="1" applyNumberFormat="1" applyFont="1" applyBorder="1" applyAlignment="1">
      <alignment horizontal="right" vertical="center"/>
    </xf>
    <xf numFmtId="2" fontId="8" fillId="0" borderId="26" xfId="1" applyNumberFormat="1" applyFont="1" applyBorder="1" applyAlignment="1">
      <alignment horizontal="right" vertical="center"/>
    </xf>
    <xf numFmtId="2" fontId="8" fillId="0" borderId="7" xfId="1" applyNumberFormat="1" applyFont="1" applyBorder="1" applyAlignment="1">
      <alignment horizontal="right" vertical="center"/>
    </xf>
    <xf numFmtId="0" fontId="8" fillId="2" borderId="8" xfId="1" applyFont="1" applyFill="1" applyBorder="1" applyAlignment="1" applyProtection="1">
      <alignment horizontal="center" vertical="center"/>
      <protection locked="0"/>
    </xf>
    <xf numFmtId="0" fontId="23" fillId="0" borderId="6" xfId="1" applyFont="1" applyBorder="1" applyAlignment="1">
      <alignment horizontal="center" vertical="center"/>
    </xf>
    <xf numFmtId="0" fontId="23" fillId="0" borderId="0" xfId="1" applyFont="1" applyAlignment="1">
      <alignment horizontal="center" vertical="center"/>
    </xf>
    <xf numFmtId="164" fontId="7" fillId="0" borderId="8" xfId="1" applyNumberFormat="1" applyFont="1" applyBorder="1" applyAlignment="1">
      <alignment horizontal="center" vertical="center"/>
    </xf>
    <xf numFmtId="11" fontId="26" fillId="0" borderId="8" xfId="1" applyNumberFormat="1" applyFont="1" applyFill="1" applyBorder="1" applyAlignment="1" applyProtection="1">
      <alignment horizontal="center" vertical="center"/>
    </xf>
    <xf numFmtId="164" fontId="8" fillId="2" borderId="8" xfId="1" applyNumberFormat="1" applyFont="1" applyFill="1" applyBorder="1" applyAlignment="1" applyProtection="1">
      <alignment horizontal="center" vertical="center"/>
      <protection locked="0"/>
    </xf>
    <xf numFmtId="0" fontId="68" fillId="0" borderId="6" xfId="1" applyFont="1" applyBorder="1" applyAlignment="1">
      <alignment horizontal="center" vertical="center"/>
    </xf>
    <xf numFmtId="0" fontId="21" fillId="0" borderId="6" xfId="1" applyFont="1" applyBorder="1" applyAlignment="1">
      <alignment horizontal="center" vertical="center"/>
    </xf>
    <xf numFmtId="0" fontId="70" fillId="0" borderId="6" xfId="1" applyFont="1" applyBorder="1" applyAlignment="1">
      <alignment horizontal="center" vertical="center"/>
    </xf>
    <xf numFmtId="0" fontId="26" fillId="0" borderId="8" xfId="1" applyFont="1" applyFill="1" applyBorder="1" applyAlignment="1" applyProtection="1">
      <alignment horizontal="center" vertical="center"/>
    </xf>
    <xf numFmtId="1" fontId="26" fillId="0" borderId="8" xfId="1" applyNumberFormat="1" applyFont="1" applyBorder="1" applyAlignment="1">
      <alignment horizontal="center" vertical="center"/>
    </xf>
    <xf numFmtId="0" fontId="17" fillId="0" borderId="0" xfId="1" applyFont="1" applyAlignment="1">
      <alignment horizontal="center" vertical="center"/>
    </xf>
    <xf numFmtId="0" fontId="18" fillId="0" borderId="6" xfId="1" applyFont="1" applyBorder="1" applyAlignment="1">
      <alignment horizontal="center" vertical="center"/>
    </xf>
    <xf numFmtId="0" fontId="17" fillId="0" borderId="6" xfId="1" applyFont="1" applyBorder="1" applyAlignment="1">
      <alignment horizontal="center" vertical="center"/>
    </xf>
    <xf numFmtId="164" fontId="26" fillId="0" borderId="8" xfId="1" applyNumberFormat="1" applyFont="1" applyFill="1" applyBorder="1" applyAlignment="1" applyProtection="1">
      <alignment horizontal="center" vertical="center"/>
    </xf>
    <xf numFmtId="2" fontId="8" fillId="0" borderId="0" xfId="1" applyNumberFormat="1" applyFont="1" applyAlignment="1">
      <alignment horizontal="right"/>
    </xf>
    <xf numFmtId="0" fontId="17" fillId="0" borderId="0" xfId="1" applyFont="1" applyAlignment="1">
      <alignment horizontal="center"/>
    </xf>
    <xf numFmtId="1" fontId="12" fillId="2" borderId="8" xfId="0" applyNumberFormat="1" applyFont="1" applyFill="1" applyBorder="1" applyAlignment="1" applyProtection="1">
      <alignment horizontal="center" vertical="center"/>
      <protection locked="0"/>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0" fillId="0" borderId="0" xfId="0" applyBorder="1" applyAlignment="1" applyProtection="1">
      <alignment horizontal="center"/>
    </xf>
    <xf numFmtId="164" fontId="66" fillId="0" borderId="24" xfId="1" applyNumberFormat="1" applyFont="1" applyBorder="1" applyAlignment="1">
      <alignment horizontal="center" vertical="center"/>
    </xf>
  </cellXfs>
  <cellStyles count="2">
    <cellStyle name="Normal" xfId="0" builtinId="0"/>
    <cellStyle name="Normal 2" xfId="1"/>
  </cellStyles>
  <dxfs count="1">
    <dxf>
      <fill>
        <patternFill>
          <bgColor rgb="FF00B050"/>
        </patternFill>
      </fill>
    </dxf>
  </dxfs>
  <tableStyles count="0" defaultTableStyle="TableStyleMedium9" defaultPivotStyle="PivotStyleLight16"/>
  <colors>
    <mruColors>
      <color rgb="FFCDFFFF"/>
      <color rgb="FF99FFCC"/>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5.3981177754377725E-2"/>
          <c:y val="5.1975104736941995E-2"/>
          <c:w val="0.91363143349284393"/>
          <c:h val="0.86278673863323763"/>
        </c:manualLayout>
      </c:layout>
      <c:scatterChart>
        <c:scatterStyle val="smoothMarker"/>
        <c:ser>
          <c:idx val="0"/>
          <c:order val="0"/>
          <c:xVal>
            <c:numRef>
              <c:f>'Gain de l''antenne'!$B$16:$U$16</c:f>
              <c:numCache>
                <c:formatCode>General</c:formatCode>
                <c:ptCount val="20"/>
                <c:pt idx="0">
                  <c:v>-6</c:v>
                </c:pt>
                <c:pt idx="1">
                  <c:v>-5</c:v>
                </c:pt>
                <c:pt idx="2">
                  <c:v>-4</c:v>
                </c:pt>
                <c:pt idx="3">
                  <c:v>-3</c:v>
                </c:pt>
                <c:pt idx="4">
                  <c:v>-2</c:v>
                </c:pt>
                <c:pt idx="5">
                  <c:v>-1</c:v>
                </c:pt>
                <c:pt idx="6">
                  <c:v>0</c:v>
                </c:pt>
                <c:pt idx="7">
                  <c:v>1</c:v>
                </c:pt>
                <c:pt idx="8">
                  <c:v>2</c:v>
                </c:pt>
                <c:pt idx="9">
                  <c:v>3</c:v>
                </c:pt>
                <c:pt idx="10">
                  <c:v>4</c:v>
                </c:pt>
                <c:pt idx="11">
                  <c:v>5</c:v>
                </c:pt>
                <c:pt idx="12">
                  <c:v>6</c:v>
                </c:pt>
                <c:pt idx="13">
                  <c:v>7.5</c:v>
                </c:pt>
                <c:pt idx="14">
                  <c:v>10</c:v>
                </c:pt>
                <c:pt idx="15">
                  <c:v>15</c:v>
                </c:pt>
                <c:pt idx="16">
                  <c:v>20</c:v>
                </c:pt>
                <c:pt idx="17">
                  <c:v>25</c:v>
                </c:pt>
                <c:pt idx="18">
                  <c:v>30</c:v>
                </c:pt>
                <c:pt idx="19">
                  <c:v>45</c:v>
                </c:pt>
              </c:numCache>
            </c:numRef>
          </c:xVal>
          <c:yVal>
            <c:numRef>
              <c:f>'Gain de l''antenne'!$B$19:$U$19</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yVal>
          <c:smooth val="1"/>
        </c:ser>
        <c:axId val="106179968"/>
        <c:axId val="106181760"/>
      </c:scatterChart>
      <c:valAx>
        <c:axId val="106179968"/>
        <c:scaling>
          <c:orientation val="minMax"/>
        </c:scaling>
        <c:axPos val="b"/>
        <c:majorGridlines>
          <c:spPr>
            <a:ln w="3175">
              <a:solidFill>
                <a:srgbClr val="808080"/>
              </a:solidFill>
              <a:prstDash val="sysDash"/>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6181760"/>
        <c:crosses val="autoZero"/>
        <c:crossBetween val="midCat"/>
        <c:majorUnit val="5"/>
        <c:minorUnit val="0.11219999999999998"/>
      </c:valAx>
      <c:valAx>
        <c:axId val="106181760"/>
        <c:scaling>
          <c:orientation val="minMax"/>
        </c:scaling>
        <c:axPos val="l"/>
        <c:majorGridlines>
          <c:spPr>
            <a:ln w="3175">
              <a:solidFill>
                <a:srgbClr val="808080"/>
              </a:solidFill>
              <a:prstDash val="solid"/>
            </a:ln>
          </c:spPr>
        </c:majorGridlines>
        <c:numFmt formatCode="General"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6179968"/>
        <c:crossesAt val="-10"/>
        <c:crossBetween val="midCat"/>
      </c:valAx>
      <c:spPr>
        <a:solidFill>
          <a:srgbClr val="CC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525"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20370554565923091"/>
          <c:y val="0.19801980198019817"/>
          <c:w val="0.63889466593122402"/>
          <c:h val="0.53465346534653468"/>
        </c:manualLayout>
      </c:layout>
      <c:scatterChart>
        <c:scatterStyle val="lineMarker"/>
        <c:ser>
          <c:idx val="1"/>
          <c:order val="0"/>
          <c:spPr>
            <a:ln w="3175">
              <a:solidFill>
                <a:srgbClr val="800000"/>
              </a:solidFill>
              <a:prstDash val="solid"/>
            </a:ln>
          </c:spPr>
          <c:marker>
            <c:symbol val="none"/>
          </c:marker>
          <c:xVal>
            <c:numRef>
              <c:f>'Effet de sol'!$J$1:$DB$1</c:f>
              <c:numCache>
                <c:formatCode>0.00</c:formatCode>
                <c:ptCount val="49"/>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1.875</c:v>
                </c:pt>
                <c:pt idx="16">
                  <c:v>2</c:v>
                </c:pt>
                <c:pt idx="17">
                  <c:v>2.125</c:v>
                </c:pt>
                <c:pt idx="18">
                  <c:v>2.25</c:v>
                </c:pt>
                <c:pt idx="19">
                  <c:v>2.375</c:v>
                </c:pt>
                <c:pt idx="20">
                  <c:v>2.5</c:v>
                </c:pt>
                <c:pt idx="21">
                  <c:v>2.625</c:v>
                </c:pt>
                <c:pt idx="22">
                  <c:v>2.75</c:v>
                </c:pt>
                <c:pt idx="23">
                  <c:v>2.875</c:v>
                </c:pt>
                <c:pt idx="24">
                  <c:v>3</c:v>
                </c:pt>
                <c:pt idx="25">
                  <c:v>3.125</c:v>
                </c:pt>
                <c:pt idx="26">
                  <c:v>3.25</c:v>
                </c:pt>
                <c:pt idx="27">
                  <c:v>3.375</c:v>
                </c:pt>
                <c:pt idx="28">
                  <c:v>3.5</c:v>
                </c:pt>
                <c:pt idx="29">
                  <c:v>3.625</c:v>
                </c:pt>
                <c:pt idx="30">
                  <c:v>3.75</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numCache>
            </c:numRef>
          </c:xVal>
          <c:yVal>
            <c:numRef>
              <c:f>'Effet de sol'!$J$14:$DB$14</c:f>
              <c:numCache>
                <c:formatCode>0.0</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er>
        <c:ser>
          <c:idx val="2"/>
          <c:order val="1"/>
          <c:spPr>
            <a:ln w="12700">
              <a:solidFill>
                <a:srgbClr val="FF0000"/>
              </a:solidFill>
              <a:prstDash val="solid"/>
            </a:ln>
          </c:spPr>
          <c:marker>
            <c:symbol val="none"/>
          </c:marker>
          <c:xVal>
            <c:numRef>
              <c:f>'Effet de sol'!$J$1:$DB$1</c:f>
              <c:numCache>
                <c:formatCode>0.00</c:formatCode>
                <c:ptCount val="49"/>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1.875</c:v>
                </c:pt>
                <c:pt idx="16">
                  <c:v>2</c:v>
                </c:pt>
                <c:pt idx="17">
                  <c:v>2.125</c:v>
                </c:pt>
                <c:pt idx="18">
                  <c:v>2.25</c:v>
                </c:pt>
                <c:pt idx="19">
                  <c:v>2.375</c:v>
                </c:pt>
                <c:pt idx="20">
                  <c:v>2.5</c:v>
                </c:pt>
                <c:pt idx="21">
                  <c:v>2.625</c:v>
                </c:pt>
                <c:pt idx="22">
                  <c:v>2.75</c:v>
                </c:pt>
                <c:pt idx="23">
                  <c:v>2.875</c:v>
                </c:pt>
                <c:pt idx="24">
                  <c:v>3</c:v>
                </c:pt>
                <c:pt idx="25">
                  <c:v>3.125</c:v>
                </c:pt>
                <c:pt idx="26">
                  <c:v>3.25</c:v>
                </c:pt>
                <c:pt idx="27">
                  <c:v>3.375</c:v>
                </c:pt>
                <c:pt idx="28">
                  <c:v>3.5</c:v>
                </c:pt>
                <c:pt idx="29">
                  <c:v>3.625</c:v>
                </c:pt>
                <c:pt idx="30">
                  <c:v>3.75</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numCache>
            </c:numRef>
          </c:xVal>
          <c:yVal>
            <c:numRef>
              <c:f>'Effet de sol'!$J$15:$DB$15</c:f>
              <c:numCache>
                <c:formatCode>0.0</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er>
        <c:axId val="106216832"/>
        <c:axId val="105813120"/>
      </c:scatterChart>
      <c:valAx>
        <c:axId val="106216832"/>
        <c:scaling>
          <c:orientation val="minMax"/>
        </c:scaling>
        <c:axPos val="b"/>
        <c:numFmt formatCode="0.0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05813120"/>
        <c:crosses val="autoZero"/>
        <c:crossBetween val="midCat"/>
      </c:valAx>
      <c:valAx>
        <c:axId val="105813120"/>
        <c:scaling>
          <c:orientation val="minMax"/>
        </c:scaling>
        <c:axPos val="l"/>
        <c:majorGridlines>
          <c:spPr>
            <a:ln w="3175">
              <a:solidFill>
                <a:srgbClr val="000000"/>
              </a:solidFill>
              <a:prstDash val="sysDash"/>
            </a:ln>
          </c:spPr>
        </c:majorGridlines>
        <c:numFmt formatCode="0.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06216832"/>
        <c:crosses val="autoZero"/>
        <c:crossBetween val="midCat"/>
      </c:valAx>
      <c:spPr>
        <a:solidFill>
          <a:srgbClr val="CC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5.2562483743586172E-2"/>
          <c:y val="1.2418300653594762E-2"/>
          <c:w val="0.94852114065659832"/>
          <c:h val="0.8980409352805907"/>
        </c:manualLayout>
      </c:layout>
      <c:scatterChart>
        <c:scatterStyle val="smoothMarker"/>
        <c:ser>
          <c:idx val="0"/>
          <c:order val="0"/>
          <c:tx>
            <c:strRef>
              <c:f>'Couverture en "espace libre"'!$A$9</c:f>
              <c:strCache>
                <c:ptCount val="1"/>
                <c:pt idx="0">
                  <c:v>Z</c:v>
                </c:pt>
              </c:strCache>
            </c:strRef>
          </c:tx>
          <c:spPr>
            <a:ln w="25400">
              <a:solidFill>
                <a:srgbClr val="000080"/>
              </a:solidFill>
              <a:prstDash val="solid"/>
            </a:ln>
          </c:spPr>
          <c:marker>
            <c:symbol val="diamond"/>
            <c:size val="5"/>
            <c:spPr>
              <a:solidFill>
                <a:srgbClr val="000080"/>
              </a:solidFill>
              <a:ln>
                <a:solidFill>
                  <a:srgbClr val="000080"/>
                </a:solidFill>
                <a:prstDash val="solid"/>
              </a:ln>
            </c:spPr>
          </c:marker>
          <c:xVal>
            <c:numRef>
              <c:f>'Couverture en "espace libre"'!$B$8:$O$8</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xVal>
          <c:yVal>
            <c:numRef>
              <c:f>'Couverture en "espace libre"'!$B$9:$O$9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1"/>
        </c:ser>
        <c:axId val="107591552"/>
        <c:axId val="107569152"/>
      </c:scatterChart>
      <c:valAx>
        <c:axId val="107591552"/>
        <c:scaling>
          <c:orientation val="minMax"/>
        </c:scaling>
        <c:axPos val="b"/>
        <c:majorGridlines>
          <c:spPr>
            <a:ln w="3175">
              <a:solidFill>
                <a:srgbClr val="808080"/>
              </a:solidFill>
              <a:prstDash val="sysDash"/>
            </a:ln>
          </c:spPr>
        </c:majorGridlines>
        <c:title>
          <c:tx>
            <c:rich>
              <a:bodyPr/>
              <a:lstStyle/>
              <a:p>
                <a:pPr>
                  <a:defRPr sz="925" b="1" i="0" u="none" strike="noStrike" baseline="0">
                    <a:solidFill>
                      <a:srgbClr val="000000"/>
                    </a:solidFill>
                    <a:latin typeface="Arial"/>
                    <a:ea typeface="Arial"/>
                    <a:cs typeface="Arial"/>
                  </a:defRPr>
                </a:pPr>
                <a:r>
                  <a:rPr lang="fr-FR"/>
                  <a:t>D en km</a:t>
                </a:r>
              </a:p>
            </c:rich>
          </c:tx>
          <c:layout>
            <c:manualLayout>
              <c:xMode val="edge"/>
              <c:yMode val="edge"/>
              <c:x val="0.90090198184686299"/>
              <c:y val="0.88235458802943689"/>
            </c:manualLayout>
          </c:layout>
          <c:spPr>
            <a:noFill/>
            <a:ln w="25400">
              <a:noFill/>
            </a:ln>
          </c:spPr>
        </c:title>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569152"/>
        <c:crosses val="autoZero"/>
        <c:crossBetween val="midCat"/>
      </c:valAx>
      <c:valAx>
        <c:axId val="107569152"/>
        <c:scaling>
          <c:orientation val="minMax"/>
        </c:scaling>
        <c:axPos val="l"/>
        <c:majorGridlines>
          <c:spPr>
            <a:ln w="3175">
              <a:solidFill>
                <a:srgbClr val="808080"/>
              </a:solidFill>
              <a:prstDash val="solid"/>
            </a:ln>
          </c:spPr>
        </c:majorGridlines>
        <c:title>
          <c:tx>
            <c:rich>
              <a:bodyPr rot="0" vert="horz"/>
              <a:lstStyle/>
              <a:p>
                <a:pPr algn="ctr">
                  <a:defRPr sz="925" b="1" i="0" u="none" strike="noStrike" baseline="0">
                    <a:solidFill>
                      <a:srgbClr val="000000"/>
                    </a:solidFill>
                    <a:latin typeface="Arial"/>
                    <a:ea typeface="Arial"/>
                    <a:cs typeface="Arial"/>
                  </a:defRPr>
                </a:pPr>
                <a:r>
                  <a:rPr lang="fr-FR"/>
                  <a:t>  Z en mètres</a:t>
                </a:r>
              </a:p>
            </c:rich>
          </c:tx>
          <c:layout>
            <c:manualLayout>
              <c:xMode val="edge"/>
              <c:yMode val="edge"/>
              <c:x val="5.9202194320304574E-2"/>
              <c:y val="3.9215686274509803E-2"/>
            </c:manualLayout>
          </c:layout>
          <c:spPr>
            <a:noFill/>
            <a:ln w="25400">
              <a:noFill/>
            </a:ln>
          </c:spPr>
        </c:title>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7591552"/>
        <c:crosses val="autoZero"/>
        <c:crossBetween val="midCat"/>
      </c:valAx>
      <c:spPr>
        <a:solidFill>
          <a:srgbClr val="CC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horizontalDpi="-2"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0.20370554565923091"/>
          <c:y val="0.21052631578947384"/>
          <c:w val="0.63889466593122402"/>
          <c:h val="0.50526315789473619"/>
        </c:manualLayout>
      </c:layout>
      <c:scatterChart>
        <c:scatterStyle val="lineMarker"/>
        <c:ser>
          <c:idx val="1"/>
          <c:order val="0"/>
          <c:spPr>
            <a:ln w="3175">
              <a:solidFill>
                <a:srgbClr val="800000"/>
              </a:solidFill>
              <a:prstDash val="solid"/>
            </a:ln>
          </c:spPr>
          <c:marker>
            <c:symbol val="none"/>
          </c:marker>
          <c:xVal>
            <c:numRef>
              <c:f>'Effet de sol'!$J$1:$DB$1</c:f>
              <c:numCache>
                <c:formatCode>0.00</c:formatCode>
                <c:ptCount val="49"/>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1.875</c:v>
                </c:pt>
                <c:pt idx="16">
                  <c:v>2</c:v>
                </c:pt>
                <c:pt idx="17">
                  <c:v>2.125</c:v>
                </c:pt>
                <c:pt idx="18">
                  <c:v>2.25</c:v>
                </c:pt>
                <c:pt idx="19">
                  <c:v>2.375</c:v>
                </c:pt>
                <c:pt idx="20">
                  <c:v>2.5</c:v>
                </c:pt>
                <c:pt idx="21">
                  <c:v>2.625</c:v>
                </c:pt>
                <c:pt idx="22">
                  <c:v>2.75</c:v>
                </c:pt>
                <c:pt idx="23">
                  <c:v>2.875</c:v>
                </c:pt>
                <c:pt idx="24">
                  <c:v>3</c:v>
                </c:pt>
                <c:pt idx="25">
                  <c:v>3.125</c:v>
                </c:pt>
                <c:pt idx="26">
                  <c:v>3.25</c:v>
                </c:pt>
                <c:pt idx="27">
                  <c:v>3.375</c:v>
                </c:pt>
                <c:pt idx="28">
                  <c:v>3.5</c:v>
                </c:pt>
                <c:pt idx="29">
                  <c:v>3.625</c:v>
                </c:pt>
                <c:pt idx="30">
                  <c:v>3.75</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numCache>
            </c:numRef>
          </c:xVal>
          <c:yVal>
            <c:numRef>
              <c:f>'Effet de sol'!$J$14:$DB$14</c:f>
              <c:numCache>
                <c:formatCode>0.0</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er>
        <c:ser>
          <c:idx val="2"/>
          <c:order val="1"/>
          <c:spPr>
            <a:ln w="12700">
              <a:solidFill>
                <a:srgbClr val="FF0000"/>
              </a:solidFill>
              <a:prstDash val="solid"/>
            </a:ln>
          </c:spPr>
          <c:marker>
            <c:symbol val="none"/>
          </c:marker>
          <c:xVal>
            <c:numRef>
              <c:f>'Effet de sol'!$J$1:$DB$1</c:f>
              <c:numCache>
                <c:formatCode>0.00</c:formatCode>
                <c:ptCount val="49"/>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1.875</c:v>
                </c:pt>
                <c:pt idx="16">
                  <c:v>2</c:v>
                </c:pt>
                <c:pt idx="17">
                  <c:v>2.125</c:v>
                </c:pt>
                <c:pt idx="18">
                  <c:v>2.25</c:v>
                </c:pt>
                <c:pt idx="19">
                  <c:v>2.375</c:v>
                </c:pt>
                <c:pt idx="20">
                  <c:v>2.5</c:v>
                </c:pt>
                <c:pt idx="21">
                  <c:v>2.625</c:v>
                </c:pt>
                <c:pt idx="22">
                  <c:v>2.75</c:v>
                </c:pt>
                <c:pt idx="23">
                  <c:v>2.875</c:v>
                </c:pt>
                <c:pt idx="24">
                  <c:v>3</c:v>
                </c:pt>
                <c:pt idx="25">
                  <c:v>3.125</c:v>
                </c:pt>
                <c:pt idx="26">
                  <c:v>3.25</c:v>
                </c:pt>
                <c:pt idx="27">
                  <c:v>3.375</c:v>
                </c:pt>
                <c:pt idx="28">
                  <c:v>3.5</c:v>
                </c:pt>
                <c:pt idx="29">
                  <c:v>3.625</c:v>
                </c:pt>
                <c:pt idx="30">
                  <c:v>3.75</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numCache>
            </c:numRef>
          </c:xVal>
          <c:yVal>
            <c:numRef>
              <c:f>'Effet de sol'!$J$15:$DB$15</c:f>
              <c:numCache>
                <c:formatCode>0.0</c:formatCode>
                <c:ptCount val="4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numCache>
            </c:numRef>
          </c:yVal>
        </c:ser>
        <c:axId val="107899520"/>
        <c:axId val="107905408"/>
      </c:scatterChart>
      <c:valAx>
        <c:axId val="107899520"/>
        <c:scaling>
          <c:orientation val="minMax"/>
        </c:scaling>
        <c:axPos val="b"/>
        <c:numFmt formatCode="0.0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07905408"/>
        <c:crosses val="autoZero"/>
        <c:crossBetween val="midCat"/>
      </c:valAx>
      <c:valAx>
        <c:axId val="107905408"/>
        <c:scaling>
          <c:orientation val="minMax"/>
        </c:scaling>
        <c:axPos val="l"/>
        <c:majorGridlines>
          <c:spPr>
            <a:ln w="3175">
              <a:solidFill>
                <a:srgbClr val="000000"/>
              </a:solidFill>
              <a:prstDash val="sysDash"/>
            </a:ln>
          </c:spPr>
        </c:majorGridlines>
        <c:numFmt formatCode="0.0" sourceLinked="1"/>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fr-FR"/>
          </a:p>
        </c:txPr>
        <c:crossAx val="107899520"/>
        <c:crosses val="autoZero"/>
        <c:crossBetween val="midCat"/>
      </c:valAx>
      <c:spPr>
        <a:solidFill>
          <a:srgbClr val="CC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2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lang val="fr-FR"/>
  <c:chart>
    <c:plotArea>
      <c:layout>
        <c:manualLayout>
          <c:layoutTarget val="inner"/>
          <c:xMode val="edge"/>
          <c:yMode val="edge"/>
          <c:x val="5.1347881899871689E-2"/>
          <c:y val="5.6310679611650483E-2"/>
          <c:w val="0.91655969191270859"/>
          <c:h val="0.90485436893203819"/>
        </c:manualLayout>
      </c:layout>
      <c:scatterChart>
        <c:scatterStyle val="smoothMarker"/>
        <c:ser>
          <c:idx val="0"/>
          <c:order val="0"/>
          <c:tx>
            <c:strRef>
              <c:f>'Variation du signal'!$A$13</c:f>
              <c:strCache>
                <c:ptCount val="1"/>
                <c:pt idx="0">
                  <c:v>(S/B)0</c:v>
                </c:pt>
              </c:strCache>
            </c:strRef>
          </c:tx>
          <c:spPr>
            <a:ln w="12700">
              <a:solidFill>
                <a:srgbClr val="000080"/>
              </a:solidFill>
              <a:prstDash val="solid"/>
            </a:ln>
          </c:spPr>
          <c:marker>
            <c:symbol val="none"/>
          </c:marker>
          <c:xVal>
            <c:numRef>
              <c:f>'Variation du signal'!$B$12:$O$12</c:f>
              <c:numCache>
                <c:formatCode>0</c:formatCode>
                <c:ptCount val="14"/>
                <c:pt idx="0">
                  <c:v>432.43496620879307</c:v>
                </c:pt>
                <c:pt idx="1">
                  <c:v>308.82669611686561</c:v>
                </c:pt>
                <c:pt idx="2">
                  <c:v>227.75744989931991</c:v>
                </c:pt>
                <c:pt idx="3">
                  <c:v>175.54467213066849</c:v>
                </c:pt>
                <c:pt idx="4">
                  <c:v>140.9405472935378</c:v>
                </c:pt>
                <c:pt idx="5">
                  <c:v>116.97565352684475</c:v>
                </c:pt>
                <c:pt idx="6">
                  <c:v>99.646679272533603</c:v>
                </c:pt>
                <c:pt idx="7">
                  <c:v>81.295827404444012</c:v>
                </c:pt>
                <c:pt idx="8">
                  <c:v>62.042529653375198</c:v>
                </c:pt>
                <c:pt idx="9">
                  <c:v>42.097948875313399</c:v>
                </c:pt>
                <c:pt idx="10">
                  <c:v>31.985888007258325</c:v>
                </c:pt>
                <c:pt idx="11">
                  <c:v>25.934599280157013</c:v>
                </c:pt>
                <c:pt idx="12">
                  <c:v>21.943352022057134</c:v>
                </c:pt>
                <c:pt idx="13">
                  <c:v>15.536269585434749</c:v>
                </c:pt>
              </c:numCache>
            </c:numRef>
          </c:xVal>
          <c:yVal>
            <c:numRef>
              <c:f>'Variation du signal'!$B$13:$O$13</c:f>
              <c:numCache>
                <c:formatCode>0.0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yVal>
          <c:smooth val="1"/>
        </c:ser>
        <c:ser>
          <c:idx val="1"/>
          <c:order val="1"/>
          <c:tx>
            <c:strRef>
              <c:f>'Variation du signal'!$A$14</c:f>
              <c:strCache>
                <c:ptCount val="1"/>
                <c:pt idx="0">
                  <c:v>(S/B)v</c:v>
                </c:pt>
              </c:strCache>
            </c:strRef>
          </c:tx>
          <c:spPr>
            <a:ln w="25400">
              <a:solidFill>
                <a:srgbClr val="FF00FF"/>
              </a:solidFill>
              <a:prstDash val="solid"/>
            </a:ln>
          </c:spPr>
          <c:marker>
            <c:symbol val="none"/>
          </c:marker>
          <c:xVal>
            <c:numRef>
              <c:f>'Variation du signal'!$B$12:$O$12</c:f>
              <c:numCache>
                <c:formatCode>0</c:formatCode>
                <c:ptCount val="14"/>
                <c:pt idx="0">
                  <c:v>432.43496620879307</c:v>
                </c:pt>
                <c:pt idx="1">
                  <c:v>308.82669611686561</c:v>
                </c:pt>
                <c:pt idx="2">
                  <c:v>227.75744989931991</c:v>
                </c:pt>
                <c:pt idx="3">
                  <c:v>175.54467213066849</c:v>
                </c:pt>
                <c:pt idx="4">
                  <c:v>140.9405472935378</c:v>
                </c:pt>
                <c:pt idx="5">
                  <c:v>116.97565352684475</c:v>
                </c:pt>
                <c:pt idx="6">
                  <c:v>99.646679272533603</c:v>
                </c:pt>
                <c:pt idx="7">
                  <c:v>81.295827404444012</c:v>
                </c:pt>
                <c:pt idx="8">
                  <c:v>62.042529653375198</c:v>
                </c:pt>
                <c:pt idx="9">
                  <c:v>42.097948875313399</c:v>
                </c:pt>
                <c:pt idx="10">
                  <c:v>31.985888007258325</c:v>
                </c:pt>
                <c:pt idx="11">
                  <c:v>25.934599280157013</c:v>
                </c:pt>
                <c:pt idx="12">
                  <c:v>21.943352022057134</c:v>
                </c:pt>
                <c:pt idx="13">
                  <c:v>15.536269585434749</c:v>
                </c:pt>
              </c:numCache>
            </c:numRef>
          </c:xVal>
          <c:yVal>
            <c:numRef>
              <c:f>'Variation du signal'!$B$14:$O$14</c:f>
              <c:numCache>
                <c:formatCode>0.0</c:formatCode>
                <c:ptCount val="14"/>
                <c:pt idx="0">
                  <c:v>-225.43683213072998</c:v>
                </c:pt>
                <c:pt idx="1">
                  <c:v>-219.58859341202924</c:v>
                </c:pt>
                <c:pt idx="2">
                  <c:v>-214.2989036624204</c:v>
                </c:pt>
                <c:pt idx="3">
                  <c:v>-209.77550611779353</c:v>
                </c:pt>
                <c:pt idx="4">
                  <c:v>-205.96143814383666</c:v>
                </c:pt>
                <c:pt idx="5">
                  <c:v>-202.72381920857498</c:v>
                </c:pt>
                <c:pt idx="6">
                  <c:v>-199.93851321623418</c:v>
                </c:pt>
                <c:pt idx="7">
                  <c:v>-196.40273022143589</c:v>
                </c:pt>
                <c:pt idx="8">
                  <c:v>-191.70757987778703</c:v>
                </c:pt>
                <c:pt idx="9">
                  <c:v>-184.97043745448741</c:v>
                </c:pt>
                <c:pt idx="10">
                  <c:v>-180.19833649234019</c:v>
                </c:pt>
                <c:pt idx="11">
                  <c:v>-176.55518168098274</c:v>
                </c:pt>
                <c:pt idx="12">
                  <c:v>-173.65211881010765</c:v>
                </c:pt>
                <c:pt idx="13">
                  <c:v>-167.65386994038138</c:v>
                </c:pt>
              </c:numCache>
            </c:numRef>
          </c:yVal>
          <c:smooth val="1"/>
        </c:ser>
        <c:axId val="108063360"/>
        <c:axId val="108155264"/>
      </c:scatterChart>
      <c:valAx>
        <c:axId val="108063360"/>
        <c:scaling>
          <c:orientation val="minMax"/>
          <c:max val="200"/>
        </c:scaling>
        <c:axPos val="b"/>
        <c:majorGridlines>
          <c:spPr>
            <a:ln w="3175">
              <a:solidFill>
                <a:srgbClr val="808080"/>
              </a:solidFill>
              <a:prstDash val="sysDash"/>
            </a:ln>
          </c:spPr>
        </c:majorGridlines>
        <c:numFmt formatCode="0" sourceLinked="1"/>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08155264"/>
        <c:crosses val="autoZero"/>
        <c:crossBetween val="midCat"/>
        <c:majorUnit val="50"/>
      </c:valAx>
      <c:valAx>
        <c:axId val="108155264"/>
        <c:scaling>
          <c:orientation val="minMax"/>
          <c:max val="50"/>
          <c:min val="-30"/>
        </c:scaling>
        <c:axPos val="l"/>
        <c:majorGridlines>
          <c:spPr>
            <a:ln w="3175">
              <a:solidFill>
                <a:srgbClr val="808080"/>
              </a:solidFill>
              <a:prstDash val="solid"/>
            </a:ln>
          </c:spPr>
        </c:majorGridlines>
        <c:numFmt formatCode="0.0" sourceLinked="1"/>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108063360"/>
        <c:crosses val="autoZero"/>
        <c:crossBetween val="midCat"/>
      </c:valAx>
      <c:spPr>
        <a:solidFill>
          <a:srgbClr val="CC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6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fr-FR"/>
  <c:chart>
    <c:autoTitleDeleted val="1"/>
    <c:plotArea>
      <c:layout>
        <c:manualLayout>
          <c:layoutTarget val="inner"/>
          <c:xMode val="edge"/>
          <c:yMode val="edge"/>
          <c:x val="6.6806376829355474E-2"/>
          <c:y val="4.8076878836360595E-2"/>
          <c:w val="0.91127410630091488"/>
          <c:h val="0.89230853018754708"/>
        </c:manualLayout>
      </c:layout>
      <c:scatterChart>
        <c:scatterStyle val="smoothMarker"/>
        <c:ser>
          <c:idx val="0"/>
          <c:order val="0"/>
          <c:tx>
            <c:strRef>
              <c:f>'Effet de sol'!$BE$25</c:f>
              <c:strCache>
                <c:ptCount val="1"/>
                <c:pt idx="0">
                  <c:v>z</c:v>
                </c:pt>
              </c:strCache>
            </c:strRef>
          </c:tx>
          <c:spPr>
            <a:ln w="25400">
              <a:solidFill>
                <a:srgbClr val="000080"/>
              </a:solidFill>
              <a:prstDash val="solid"/>
            </a:ln>
          </c:spPr>
          <c:marker>
            <c:symbol val="none"/>
          </c:marker>
          <c:xVal>
            <c:numRef>
              <c:f>'Effet de sol'!$BF$24:$DI$24</c:f>
              <c:numCache>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xVal>
          <c:yVal>
            <c:numRef>
              <c:f>'Effet de sol'!$BF$25:$DI$25</c:f>
              <c:numCache>
                <c:formatCode>0</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yVal>
          <c:smooth val="1"/>
        </c:ser>
        <c:axId val="108380160"/>
        <c:axId val="108382080"/>
      </c:scatterChart>
      <c:valAx>
        <c:axId val="108380160"/>
        <c:scaling>
          <c:orientation val="minMax"/>
        </c:scaling>
        <c:axPos val="b"/>
        <c:majorGridlines>
          <c:spPr>
            <a:ln w="3175">
              <a:solidFill>
                <a:srgbClr val="808080"/>
              </a:solidFill>
              <a:prstDash val="sysDash"/>
            </a:ln>
          </c:spPr>
        </c:majorGridlines>
        <c:title>
          <c:tx>
            <c:rich>
              <a:bodyPr/>
              <a:lstStyle/>
              <a:p>
                <a:pPr>
                  <a:defRPr sz="950" b="1" i="0" u="none" strike="noStrike" baseline="0">
                    <a:solidFill>
                      <a:srgbClr val="000000"/>
                    </a:solidFill>
                    <a:latin typeface="Arial"/>
                    <a:ea typeface="Arial"/>
                    <a:cs typeface="Arial"/>
                  </a:defRPr>
                </a:pPr>
                <a:r>
                  <a:rPr lang="fr-FR"/>
                  <a:t>D en km</a:t>
                </a:r>
              </a:p>
            </c:rich>
          </c:tx>
          <c:layout>
            <c:manualLayout>
              <c:xMode val="edge"/>
              <c:yMode val="edge"/>
              <c:x val="0.87309646605458491"/>
              <c:y val="0.86153917507299538"/>
            </c:manualLayout>
          </c:layout>
          <c:spPr>
            <a:noFill/>
            <a:ln w="25400">
              <a:noFill/>
            </a:ln>
          </c:spPr>
        </c:title>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382080"/>
        <c:crosses val="autoZero"/>
        <c:crossBetween val="midCat"/>
      </c:valAx>
      <c:valAx>
        <c:axId val="108382080"/>
        <c:scaling>
          <c:orientation val="minMax"/>
        </c:scaling>
        <c:axPos val="l"/>
        <c:majorGridlines>
          <c:spPr>
            <a:ln w="3175">
              <a:solidFill>
                <a:srgbClr val="808080"/>
              </a:solidFill>
              <a:prstDash val="solid"/>
            </a:ln>
          </c:spPr>
        </c:majorGridlines>
        <c:title>
          <c:tx>
            <c:rich>
              <a:bodyPr rot="0" vert="horz"/>
              <a:lstStyle/>
              <a:p>
                <a:pPr algn="ctr">
                  <a:defRPr sz="950" b="1" i="0" u="none" strike="noStrike" baseline="0">
                    <a:solidFill>
                      <a:srgbClr val="000000"/>
                    </a:solidFill>
                    <a:latin typeface="Arial"/>
                    <a:ea typeface="Arial"/>
                    <a:cs typeface="Arial"/>
                  </a:defRPr>
                </a:pPr>
                <a:r>
                  <a:rPr lang="fr-FR"/>
                  <a:t>Z en mètres</a:t>
                </a:r>
              </a:p>
            </c:rich>
          </c:tx>
          <c:layout>
            <c:manualLayout>
              <c:xMode val="edge"/>
              <c:yMode val="edge"/>
              <c:x val="9.1370582568229566E-2"/>
              <c:y val="6.5384688359738291E-2"/>
            </c:manualLayout>
          </c:layout>
          <c:spPr>
            <a:noFill/>
            <a:ln w="25400">
              <a:noFill/>
            </a:ln>
          </c:spPr>
        </c:title>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08380160"/>
        <c:crosses val="autoZero"/>
        <c:crossBetween val="midCat"/>
      </c:valAx>
      <c:spPr>
        <a:solidFill>
          <a:srgbClr val="CCFFFF"/>
        </a:solidFill>
        <a:ln w="12700">
          <a:solidFill>
            <a:srgbClr val="808080"/>
          </a:solidFill>
          <a:prstDash val="solid"/>
        </a:ln>
      </c:spPr>
    </c:plotArea>
    <c:plotVisOnly val="1"/>
    <c:dispBlanksAs val="gap"/>
  </c:chart>
  <c:spPr>
    <a:solidFill>
      <a:srgbClr val="FFFFFF"/>
    </a:solidFill>
    <a:ln w="3175">
      <a:solidFill>
        <a:srgbClr val="000000"/>
      </a:solidFill>
      <a:prstDash val="solid"/>
    </a:ln>
  </c:spPr>
  <c:txPr>
    <a:bodyPr/>
    <a:lstStyle/>
    <a:p>
      <a:pPr>
        <a:defRPr sz="185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8" footer="0.49212598450000028"/>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fr-FR"/>
  <c:chart>
    <c:title>
      <c:tx>
        <c:rich>
          <a:bodyPr/>
          <a:lstStyle/>
          <a:p>
            <a:pPr>
              <a:defRPr/>
            </a:pPr>
            <a:r>
              <a:rPr lang="en-US" sz="1100"/>
              <a:t>Site degrés</a:t>
            </a:r>
          </a:p>
        </c:rich>
      </c:tx>
      <c:layout>
        <c:manualLayout>
          <c:xMode val="edge"/>
          <c:yMode val="edge"/>
          <c:x val="0.16425116091257819"/>
          <c:y val="5.9620480907628552E-2"/>
        </c:manualLayout>
      </c:layout>
    </c:title>
    <c:plotArea>
      <c:layout>
        <c:manualLayout>
          <c:layoutTarget val="inner"/>
          <c:xMode val="edge"/>
          <c:yMode val="edge"/>
          <c:x val="0.12786022959251306"/>
          <c:y val="4.6323989501312376E-2"/>
          <c:w val="0.78418816878659359"/>
          <c:h val="0.88311866504491776"/>
        </c:manualLayout>
      </c:layout>
      <c:scatterChart>
        <c:scatterStyle val="smoothMarker"/>
        <c:ser>
          <c:idx val="0"/>
          <c:order val="0"/>
          <c:tx>
            <c:strRef>
              <c:f>'Effet de sol'!$A$26</c:f>
              <c:strCache>
                <c:ptCount val="1"/>
                <c:pt idx="0">
                  <c:v>Site degrés</c:v>
                </c:pt>
              </c:strCache>
            </c:strRef>
          </c:tx>
          <c:spPr>
            <a:ln>
              <a:solidFill>
                <a:schemeClr val="tx2">
                  <a:lumMod val="75000"/>
                </a:schemeClr>
              </a:solidFill>
            </a:ln>
          </c:spPr>
          <c:marker>
            <c:symbol val="none"/>
          </c:marker>
          <c:xVal>
            <c:numRef>
              <c:f>'Effet de sol'!$J$24:$DC$24</c:f>
              <c:numCache>
                <c:formatCode>0</c:formatCode>
                <c:ptCount val="5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xVal>
          <c:yVal>
            <c:numRef>
              <c:f>'Effet de sol'!$J$26:$DC$26</c:f>
              <c:numCache>
                <c:formatCode>0.00</c:formatCode>
                <c:ptCount val="50"/>
                <c:pt idx="0">
                  <c:v>0</c:v>
                </c:pt>
                <c:pt idx="1">
                  <c:v>0.125</c:v>
                </c:pt>
                <c:pt idx="2">
                  <c:v>0.25</c:v>
                </c:pt>
                <c:pt idx="3">
                  <c:v>0.375</c:v>
                </c:pt>
                <c:pt idx="4">
                  <c:v>0.5</c:v>
                </c:pt>
                <c:pt idx="5">
                  <c:v>0.625</c:v>
                </c:pt>
                <c:pt idx="6">
                  <c:v>0.75</c:v>
                </c:pt>
                <c:pt idx="7">
                  <c:v>0.875</c:v>
                </c:pt>
                <c:pt idx="8">
                  <c:v>1</c:v>
                </c:pt>
                <c:pt idx="9">
                  <c:v>1.125</c:v>
                </c:pt>
                <c:pt idx="10">
                  <c:v>1.25</c:v>
                </c:pt>
                <c:pt idx="11">
                  <c:v>1.375</c:v>
                </c:pt>
                <c:pt idx="12">
                  <c:v>1.5</c:v>
                </c:pt>
                <c:pt idx="13">
                  <c:v>1.625</c:v>
                </c:pt>
                <c:pt idx="14">
                  <c:v>1.75</c:v>
                </c:pt>
                <c:pt idx="15">
                  <c:v>1.875</c:v>
                </c:pt>
                <c:pt idx="16">
                  <c:v>2</c:v>
                </c:pt>
                <c:pt idx="17">
                  <c:v>2.125</c:v>
                </c:pt>
                <c:pt idx="18">
                  <c:v>2.25</c:v>
                </c:pt>
                <c:pt idx="19">
                  <c:v>2.375</c:v>
                </c:pt>
                <c:pt idx="20">
                  <c:v>2.5</c:v>
                </c:pt>
                <c:pt idx="21">
                  <c:v>2.625</c:v>
                </c:pt>
                <c:pt idx="22">
                  <c:v>2.75</c:v>
                </c:pt>
                <c:pt idx="23">
                  <c:v>2.875</c:v>
                </c:pt>
                <c:pt idx="24">
                  <c:v>3</c:v>
                </c:pt>
                <c:pt idx="25">
                  <c:v>3.125</c:v>
                </c:pt>
                <c:pt idx="26">
                  <c:v>3.25</c:v>
                </c:pt>
                <c:pt idx="27">
                  <c:v>3.375</c:v>
                </c:pt>
                <c:pt idx="28">
                  <c:v>3.5</c:v>
                </c:pt>
                <c:pt idx="29">
                  <c:v>3.625</c:v>
                </c:pt>
                <c:pt idx="30">
                  <c:v>3.75</c:v>
                </c:pt>
                <c:pt idx="31">
                  <c:v>3.875</c:v>
                </c:pt>
                <c:pt idx="32">
                  <c:v>4</c:v>
                </c:pt>
                <c:pt idx="33">
                  <c:v>4.125</c:v>
                </c:pt>
                <c:pt idx="34">
                  <c:v>4.25</c:v>
                </c:pt>
                <c:pt idx="35">
                  <c:v>4.375</c:v>
                </c:pt>
                <c:pt idx="36">
                  <c:v>4.5</c:v>
                </c:pt>
                <c:pt idx="37">
                  <c:v>4.625</c:v>
                </c:pt>
                <c:pt idx="38">
                  <c:v>4.75</c:v>
                </c:pt>
                <c:pt idx="39">
                  <c:v>4.875</c:v>
                </c:pt>
                <c:pt idx="40">
                  <c:v>5</c:v>
                </c:pt>
                <c:pt idx="41">
                  <c:v>5.125</c:v>
                </c:pt>
                <c:pt idx="42">
                  <c:v>5.25</c:v>
                </c:pt>
                <c:pt idx="43">
                  <c:v>5.375</c:v>
                </c:pt>
                <c:pt idx="44">
                  <c:v>5.5</c:v>
                </c:pt>
                <c:pt idx="45">
                  <c:v>5.625</c:v>
                </c:pt>
                <c:pt idx="46">
                  <c:v>5.75</c:v>
                </c:pt>
                <c:pt idx="47">
                  <c:v>5.875</c:v>
                </c:pt>
                <c:pt idx="48">
                  <c:v>6</c:v>
                </c:pt>
                <c:pt idx="49">
                  <c:v>7.5</c:v>
                </c:pt>
              </c:numCache>
            </c:numRef>
          </c:yVal>
          <c:smooth val="1"/>
        </c:ser>
        <c:axId val="108102784"/>
        <c:axId val="108104320"/>
      </c:scatterChart>
      <c:valAx>
        <c:axId val="108102784"/>
        <c:scaling>
          <c:orientation val="minMax"/>
        </c:scaling>
        <c:axPos val="b"/>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08104320"/>
        <c:crosses val="autoZero"/>
        <c:crossBetween val="midCat"/>
      </c:valAx>
      <c:valAx>
        <c:axId val="108104320"/>
        <c:scaling>
          <c:orientation val="minMax"/>
        </c:scaling>
        <c:axPos val="l"/>
        <c:majorGridlines/>
        <c:numFmt formatCode="0.00" sourceLinked="1"/>
        <c:tickLblPos val="nextTo"/>
        <c:crossAx val="108102784"/>
        <c:crosses val="autoZero"/>
        <c:crossBetween val="midCat"/>
      </c:valAx>
      <c:spPr>
        <a:solidFill>
          <a:srgbClr val="CAF2F6"/>
        </a:solidFill>
      </c:spPr>
    </c:plotArea>
    <c:plotVisOnly val="1"/>
    <c:dispBlanksAs val="gap"/>
  </c:chart>
  <c:spPr>
    <a:solidFill>
      <a:schemeClr val="bg1"/>
    </a:solidFill>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123825</xdr:rowOff>
    </xdr:from>
    <xdr:to>
      <xdr:col>22</xdr:col>
      <xdr:colOff>381000</xdr:colOff>
      <xdr:row>25</xdr:row>
      <xdr:rowOff>0</xdr:rowOff>
    </xdr:to>
    <xdr:sp macro="" textlink="">
      <xdr:nvSpPr>
        <xdr:cNvPr id="2" name="ZoneTexte 1"/>
        <xdr:cNvSpPr txBox="1"/>
      </xdr:nvSpPr>
      <xdr:spPr>
        <a:xfrm>
          <a:off x="152400" y="447675"/>
          <a:ext cx="9315450" cy="36004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solidFill>
                <a:schemeClr val="dk1"/>
              </a:solidFill>
              <a:latin typeface="+mn-lt"/>
              <a:ea typeface="+mn-ea"/>
              <a:cs typeface="+mn-cs"/>
            </a:rPr>
            <a:t>PRESENTATION DU CALCULATEUR</a:t>
          </a:r>
        </a:p>
        <a:p>
          <a:r>
            <a:rPr lang="fr-FR" sz="1100">
              <a:solidFill>
                <a:schemeClr val="dk1"/>
              </a:solidFill>
              <a:latin typeface="+mn-lt"/>
              <a:ea typeface="+mn-ea"/>
              <a:cs typeface="+mn-cs"/>
            </a:rPr>
            <a:t> </a:t>
          </a:r>
        </a:p>
        <a:p>
          <a:r>
            <a:rPr lang="fr-FR" sz="1100">
              <a:solidFill>
                <a:schemeClr val="dk1"/>
              </a:solidFill>
              <a:latin typeface="+mn-lt"/>
              <a:ea typeface="+mn-ea"/>
              <a:cs typeface="+mn-cs"/>
            </a:rPr>
            <a:t>Le présent calculateur permet, à partir de modèles simples, de visualiser une couverture radar en espace libre et en présence d’effet de sol.</a:t>
          </a:r>
        </a:p>
        <a:p>
          <a:r>
            <a:rPr lang="fr-FR" sz="1100">
              <a:solidFill>
                <a:schemeClr val="dk1"/>
              </a:solidFill>
              <a:latin typeface="+mn-lt"/>
              <a:ea typeface="+mn-ea"/>
              <a:cs typeface="+mn-cs"/>
            </a:rPr>
            <a:t> </a:t>
          </a:r>
          <a:endParaRPr lang="fr-FR" sz="1100" b="1">
            <a:solidFill>
              <a:schemeClr val="dk1"/>
            </a:solidFill>
            <a:latin typeface="+mn-lt"/>
            <a:ea typeface="+mn-ea"/>
            <a:cs typeface="+mn-cs"/>
          </a:endParaRPr>
        </a:p>
        <a:p>
          <a:r>
            <a:rPr lang="fr-FR" sz="1100" b="1">
              <a:solidFill>
                <a:schemeClr val="dk1"/>
              </a:solidFill>
              <a:latin typeface="+mn-lt"/>
              <a:ea typeface="+mn-ea"/>
              <a:cs typeface="+mn-cs"/>
            </a:rPr>
            <a:t>La première planche </a:t>
          </a:r>
          <a:r>
            <a:rPr lang="fr-FR" sz="1100">
              <a:solidFill>
                <a:schemeClr val="dk1"/>
              </a:solidFill>
              <a:latin typeface="+mn-lt"/>
              <a:ea typeface="+mn-ea"/>
              <a:cs typeface="+mn-cs"/>
            </a:rPr>
            <a:t>permet la saisie des paramètres de l’équation du radar en absence de brouillage. Le résultat final est la portée maximale du radar.</a:t>
          </a:r>
        </a:p>
        <a:p>
          <a:r>
            <a:rPr lang="fr-FR" sz="1100">
              <a:solidFill>
                <a:schemeClr val="dk1"/>
              </a:solidFill>
              <a:latin typeface="+mn-lt"/>
              <a:ea typeface="+mn-ea"/>
              <a:cs typeface="+mn-cs"/>
            </a:rPr>
            <a:t> </a:t>
          </a:r>
        </a:p>
        <a:p>
          <a:r>
            <a:rPr lang="fr-FR" sz="1100" b="1">
              <a:solidFill>
                <a:schemeClr val="dk1"/>
              </a:solidFill>
              <a:latin typeface="+mn-lt"/>
              <a:ea typeface="+mn-ea"/>
              <a:cs typeface="+mn-cs"/>
            </a:rPr>
            <a:t>La seconde planche </a:t>
          </a:r>
          <a:r>
            <a:rPr lang="fr-FR" sz="1100">
              <a:solidFill>
                <a:schemeClr val="dk1"/>
              </a:solidFill>
              <a:latin typeface="+mn-lt"/>
              <a:ea typeface="+mn-ea"/>
              <a:cs typeface="+mn-cs"/>
            </a:rPr>
            <a:t>permet d’afficher un profil de gain d’antenne ( gain relatif par rapport a son maximum) au calage choisi. Les sites des points de saisie sont imposés.</a:t>
          </a:r>
        </a:p>
        <a:p>
          <a:r>
            <a:rPr lang="fr-FR" sz="1100">
              <a:solidFill>
                <a:schemeClr val="dk1"/>
              </a:solidFill>
              <a:latin typeface="+mn-lt"/>
              <a:ea typeface="+mn-ea"/>
              <a:cs typeface="+mn-cs"/>
            </a:rPr>
            <a:t>A titre d’exemple est affiché par défaut le profil rappelé ci après.</a:t>
          </a:r>
        </a:p>
        <a:p>
          <a:r>
            <a:rPr lang="fr-FR" sz="1100">
              <a:solidFill>
                <a:schemeClr val="dk1"/>
              </a:solidFill>
              <a:latin typeface="+mn-lt"/>
              <a:ea typeface="+mn-ea"/>
              <a:cs typeface="+mn-cs"/>
            </a:rPr>
            <a:t> </a:t>
          </a:r>
        </a:p>
        <a:p>
          <a:r>
            <a:rPr lang="fr-FR" sz="1100">
              <a:solidFill>
                <a:schemeClr val="dk1"/>
              </a:solidFill>
              <a:latin typeface="+mn-lt"/>
              <a:ea typeface="+mn-ea"/>
              <a:cs typeface="+mn-cs"/>
            </a:rPr>
            <a:t>Sur la </a:t>
          </a:r>
          <a:r>
            <a:rPr lang="fr-FR" sz="1100" b="1">
              <a:solidFill>
                <a:schemeClr val="dk1"/>
              </a:solidFill>
              <a:latin typeface="+mn-lt"/>
              <a:ea typeface="+mn-ea"/>
              <a:cs typeface="+mn-cs"/>
            </a:rPr>
            <a:t>troisième planche </a:t>
          </a:r>
          <a:r>
            <a:rPr lang="fr-FR" sz="1100">
              <a:solidFill>
                <a:schemeClr val="dk1"/>
              </a:solidFill>
              <a:latin typeface="+mn-lt"/>
              <a:ea typeface="+mn-ea"/>
              <a:cs typeface="+mn-cs"/>
            </a:rPr>
            <a:t>s’affiche alors le profil de porté maximale du radar , (à Pd et Pfa choisis, définissant le rapport S/B nécessaire), en fonction de l’altitude (calcul exact). Dans ce plan les lignes de site constant ne sont plus des droites.</a:t>
          </a:r>
        </a:p>
        <a:p>
          <a:r>
            <a:rPr lang="fr-FR" sz="1100">
              <a:solidFill>
                <a:schemeClr val="dk1"/>
              </a:solidFill>
              <a:latin typeface="+mn-lt"/>
              <a:ea typeface="+mn-ea"/>
              <a:cs typeface="+mn-cs"/>
            </a:rPr>
            <a:t> </a:t>
          </a:r>
        </a:p>
        <a:p>
          <a:r>
            <a:rPr lang="fr-FR" sz="1100">
              <a:solidFill>
                <a:schemeClr val="dk1"/>
              </a:solidFill>
              <a:latin typeface="+mn-lt"/>
              <a:ea typeface="+mn-ea"/>
              <a:cs typeface="+mn-cs"/>
            </a:rPr>
            <a:t>Sur la </a:t>
          </a:r>
          <a:r>
            <a:rPr lang="fr-FR" sz="1100" b="1">
              <a:solidFill>
                <a:schemeClr val="dk1"/>
              </a:solidFill>
              <a:latin typeface="+mn-lt"/>
              <a:ea typeface="+mn-ea"/>
              <a:cs typeface="+mn-cs"/>
            </a:rPr>
            <a:t>quatrième planche </a:t>
          </a:r>
          <a:r>
            <a:rPr lang="fr-FR" sz="1100">
              <a:solidFill>
                <a:schemeClr val="dk1"/>
              </a:solidFill>
              <a:latin typeface="+mn-lt"/>
              <a:ea typeface="+mn-ea"/>
              <a:cs typeface="+mn-cs"/>
            </a:rPr>
            <a:t>on peut visualiser la variation du rapport S/B d’une cible évoluant à altitude constante, en fonction de l’altitude choisie.</a:t>
          </a:r>
        </a:p>
        <a:p>
          <a:r>
            <a:rPr lang="fr-FR" sz="1100">
              <a:solidFill>
                <a:schemeClr val="dk1"/>
              </a:solidFill>
              <a:latin typeface="+mn-lt"/>
              <a:ea typeface="+mn-ea"/>
              <a:cs typeface="+mn-cs"/>
            </a:rPr>
            <a:t> </a:t>
          </a:r>
        </a:p>
        <a:p>
          <a:r>
            <a:rPr lang="fr-FR" sz="1100">
              <a:solidFill>
                <a:schemeClr val="dk1"/>
              </a:solidFill>
              <a:latin typeface="+mn-lt"/>
              <a:ea typeface="+mn-ea"/>
              <a:cs typeface="+mn-cs"/>
            </a:rPr>
            <a:t>Sur la </a:t>
          </a:r>
          <a:r>
            <a:rPr lang="fr-FR" sz="1100" b="1">
              <a:solidFill>
                <a:schemeClr val="dk1"/>
              </a:solidFill>
              <a:latin typeface="+mn-lt"/>
              <a:ea typeface="+mn-ea"/>
              <a:cs typeface="+mn-cs"/>
            </a:rPr>
            <a:t>cinquième planche </a:t>
          </a:r>
          <a:r>
            <a:rPr lang="fr-FR" sz="1100">
              <a:solidFill>
                <a:schemeClr val="dk1"/>
              </a:solidFill>
              <a:latin typeface="+mn-lt"/>
              <a:ea typeface="+mn-ea"/>
              <a:cs typeface="+mn-cs"/>
            </a:rPr>
            <a:t>s’affiche le profil de portée radar en présence d’effet de sol (modèle simplifié), pour différentes hauteurs d’antenne, et différents calage de cette antenne autour de la valeur nominale choisie pour la saisie de son gain (planche 2).</a:t>
          </a:r>
        </a:p>
        <a:p>
          <a:r>
            <a:rPr lang="fr-FR" sz="1100">
              <a:solidFill>
                <a:schemeClr val="dk1"/>
              </a:solidFill>
              <a:latin typeface="+mn-lt"/>
              <a:ea typeface="+mn-ea"/>
              <a:cs typeface="+mn-cs"/>
            </a:rPr>
            <a:t> </a:t>
          </a:r>
        </a:p>
        <a:p>
          <a:r>
            <a:rPr lang="fr-FR" sz="1100" b="1">
              <a:solidFill>
                <a:schemeClr val="dk1"/>
              </a:solidFill>
              <a:latin typeface="+mn-lt"/>
              <a:ea typeface="+mn-ea"/>
              <a:cs typeface="+mn-cs"/>
            </a:rPr>
            <a:t>La sixième planche </a:t>
          </a:r>
          <a:r>
            <a:rPr lang="fr-FR" sz="1100">
              <a:solidFill>
                <a:schemeClr val="dk1"/>
              </a:solidFill>
              <a:latin typeface="+mn-lt"/>
              <a:ea typeface="+mn-ea"/>
              <a:cs typeface="+mn-cs"/>
            </a:rPr>
            <a:t>propose un calcul de la portée du radar en présence de brouilleurs, supposés à des distances équivalentes, et vus par le lobe principal de l’antenne, ou par ses lobes secondaires (Taux moyen de lobes secondaires uniforme pour tous les brouilleurs).</a:t>
          </a:r>
        </a:p>
        <a:p>
          <a:endParaRPr lang="fr-FR" sz="1100"/>
        </a:p>
      </xdr:txBody>
    </xdr:sp>
    <xdr:clientData/>
  </xdr:twoCellAnchor>
  <xdr:twoCellAnchor editAs="oneCell">
    <xdr:from>
      <xdr:col>0</xdr:col>
      <xdr:colOff>0</xdr:colOff>
      <xdr:row>0</xdr:row>
      <xdr:rowOff>0</xdr:rowOff>
    </xdr:from>
    <xdr:to>
      <xdr:col>1</xdr:col>
      <xdr:colOff>628650</xdr:colOff>
      <xdr:row>1</xdr:row>
      <xdr:rowOff>9525</xdr:rowOff>
    </xdr:to>
    <xdr:pic>
      <xdr:nvPicPr>
        <xdr:cNvPr id="4097"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1525" cy="1714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19</xdr:row>
      <xdr:rowOff>9525</xdr:rowOff>
    </xdr:from>
    <xdr:to>
      <xdr:col>0</xdr:col>
      <xdr:colOff>1143000</xdr:colOff>
      <xdr:row>22</xdr:row>
      <xdr:rowOff>47625</xdr:rowOff>
    </xdr:to>
    <xdr:sp macro="" textlink="">
      <xdr:nvSpPr>
        <xdr:cNvPr id="4098" name="AutoShape 2"/>
        <xdr:cNvSpPr>
          <a:spLocks/>
        </xdr:cNvSpPr>
      </xdr:nvSpPr>
      <xdr:spPr bwMode="auto">
        <a:xfrm flipH="1">
          <a:off x="228600" y="4238625"/>
          <a:ext cx="914400" cy="742950"/>
        </a:xfrm>
        <a:prstGeom prst="accentBorderCallout1">
          <a:avLst>
            <a:gd name="adj1" fmla="val 15384"/>
            <a:gd name="adj2" fmla="val -8333"/>
            <a:gd name="adj3" fmla="val 83329"/>
            <a:gd name="adj4" fmla="val -30208"/>
          </a:avLst>
        </a:prstGeom>
        <a:solidFill>
          <a:srgbClr val="FFFFFF"/>
        </a:solidFill>
        <a:ln w="19050">
          <a:solidFill>
            <a:srgbClr val="000000"/>
          </a:solidFill>
          <a:miter lim="800000"/>
          <a:headEnd/>
          <a:tailEnd/>
        </a:ln>
      </xdr:spPr>
      <xdr:txBody>
        <a:bodyPr vertOverflow="clip" wrap="square" lIns="27432" tIns="22860" rIns="27432" bIns="0" anchor="t" upright="1"/>
        <a:lstStyle/>
        <a:p>
          <a:pPr algn="ctr" rtl="0">
            <a:defRPr sz="1000"/>
          </a:pPr>
          <a:r>
            <a:rPr lang="fr-FR" sz="1100" b="0" i="0" u="none" strike="noStrike" baseline="0">
              <a:solidFill>
                <a:srgbClr val="000000"/>
              </a:solidFill>
              <a:latin typeface="Arial"/>
              <a:cs typeface="Arial"/>
            </a:rPr>
            <a:t>Saisie des données</a:t>
          </a:r>
        </a:p>
        <a:p>
          <a:pPr algn="ctr" rtl="0">
            <a:defRPr sz="1000"/>
          </a:pPr>
          <a:r>
            <a:rPr lang="fr-FR" sz="1100" b="0" i="0" u="none" strike="noStrike" baseline="0">
              <a:solidFill>
                <a:srgbClr val="000000"/>
              </a:solidFill>
              <a:latin typeface="Arial"/>
              <a:cs typeface="Arial"/>
            </a:rPr>
            <a:t> terminée</a:t>
          </a:r>
        </a:p>
        <a:p>
          <a:pPr algn="ctr" rtl="0">
            <a:defRPr sz="1000"/>
          </a:pPr>
          <a:r>
            <a:rPr lang="fr-FR" sz="1100" b="0" i="0" u="none" strike="noStrike" baseline="0">
              <a:solidFill>
                <a:srgbClr val="000000"/>
              </a:solidFill>
              <a:latin typeface="Arial"/>
              <a:cs typeface="Arial"/>
            </a:rPr>
            <a:t>?</a:t>
          </a:r>
        </a:p>
      </xdr:txBody>
    </xdr:sp>
    <xdr:clientData/>
  </xdr:twoCellAnchor>
  <xdr:twoCellAnchor>
    <xdr:from>
      <xdr:col>0</xdr:col>
      <xdr:colOff>219075</xdr:colOff>
      <xdr:row>3</xdr:row>
      <xdr:rowOff>66675</xdr:rowOff>
    </xdr:from>
    <xdr:to>
      <xdr:col>0</xdr:col>
      <xdr:colOff>1295400</xdr:colOff>
      <xdr:row>12</xdr:row>
      <xdr:rowOff>19050</xdr:rowOff>
    </xdr:to>
    <xdr:sp macro="" textlink="">
      <xdr:nvSpPr>
        <xdr:cNvPr id="4100" name="Text Box 4"/>
        <xdr:cNvSpPr txBox="1">
          <a:spLocks noChangeArrowheads="1"/>
        </xdr:cNvSpPr>
      </xdr:nvSpPr>
      <xdr:spPr bwMode="auto">
        <a:xfrm>
          <a:off x="219075" y="638175"/>
          <a:ext cx="1076325" cy="2028825"/>
        </a:xfrm>
        <a:prstGeom prst="rect">
          <a:avLst/>
        </a:prstGeom>
        <a:solidFill>
          <a:srgbClr val="FFFFFF"/>
        </a:solidFill>
        <a:ln w="19050">
          <a:solidFill>
            <a:srgbClr val="000000"/>
          </a:solidFill>
          <a:miter lim="800000"/>
          <a:headEnd/>
          <a:tailEnd/>
        </a:ln>
      </xdr:spPr>
      <xdr:txBody>
        <a:bodyPr vertOverflow="clip" wrap="square" lIns="27432" tIns="22860" rIns="27432" bIns="0" anchor="t" upright="1"/>
        <a:lstStyle/>
        <a:p>
          <a:pPr algn="ctr" rtl="0">
            <a:defRPr sz="1000"/>
          </a:pPr>
          <a:endParaRPr lang="fr-FR" sz="1000" b="0" i="0" u="none" strike="noStrike" baseline="0">
            <a:solidFill>
              <a:srgbClr val="000000"/>
            </a:solidFill>
            <a:latin typeface="Arial"/>
            <a:cs typeface="Arial"/>
          </a:endParaRPr>
        </a:p>
        <a:p>
          <a:pPr algn="ctr" rtl="0">
            <a:defRPr sz="1000"/>
          </a:pPr>
          <a:r>
            <a:rPr lang="fr-FR" sz="1200" b="1" i="0" u="none" strike="noStrike" baseline="0">
              <a:solidFill>
                <a:srgbClr val="000000"/>
              </a:solidFill>
              <a:latin typeface="Arial"/>
              <a:cs typeface="Arial"/>
            </a:rPr>
            <a:t>Entrer </a:t>
          </a:r>
        </a:p>
        <a:p>
          <a:pPr algn="ctr" rtl="0">
            <a:defRPr sz="1000"/>
          </a:pPr>
          <a:r>
            <a:rPr lang="fr-FR" sz="1200" b="1" i="0" u="none" strike="noStrike" baseline="0">
              <a:solidFill>
                <a:srgbClr val="000000"/>
              </a:solidFill>
              <a:latin typeface="Arial"/>
              <a:cs typeface="Arial"/>
            </a:rPr>
            <a:t>les valeurs </a:t>
          </a:r>
        </a:p>
        <a:p>
          <a:pPr algn="ctr" rtl="0">
            <a:defRPr sz="1000"/>
          </a:pPr>
          <a:r>
            <a:rPr lang="fr-FR" sz="1200" b="1" i="0" u="none" strike="noStrike" baseline="0">
              <a:solidFill>
                <a:srgbClr val="000000"/>
              </a:solidFill>
              <a:latin typeface="Arial"/>
              <a:cs typeface="Arial"/>
            </a:rPr>
            <a:t>des </a:t>
          </a:r>
        </a:p>
        <a:p>
          <a:pPr algn="ctr" rtl="0">
            <a:defRPr sz="1000"/>
          </a:pPr>
          <a:r>
            <a:rPr lang="fr-FR" sz="1200" b="1" i="0" u="none" strike="noStrike" baseline="0">
              <a:solidFill>
                <a:srgbClr val="000000"/>
              </a:solidFill>
              <a:latin typeface="Arial"/>
              <a:cs typeface="Arial"/>
            </a:rPr>
            <a:t>différents paramètres dans</a:t>
          </a:r>
        </a:p>
        <a:p>
          <a:pPr algn="ctr" rtl="0">
            <a:defRPr sz="1000"/>
          </a:pPr>
          <a:r>
            <a:rPr lang="fr-FR" sz="1200" b="1" i="0" u="none" strike="noStrike" baseline="0">
              <a:solidFill>
                <a:srgbClr val="000000"/>
              </a:solidFill>
              <a:latin typeface="Arial"/>
              <a:cs typeface="Arial"/>
            </a:rPr>
            <a:t> les unités demandées</a:t>
          </a:r>
        </a:p>
      </xdr:txBody>
    </xdr:sp>
    <xdr:clientData/>
  </xdr:twoCellAnchor>
  <xdr:twoCellAnchor>
    <xdr:from>
      <xdr:col>5</xdr:col>
      <xdr:colOff>381000</xdr:colOff>
      <xdr:row>8</xdr:row>
      <xdr:rowOff>104775</xdr:rowOff>
    </xdr:from>
    <xdr:to>
      <xdr:col>8</xdr:col>
      <xdr:colOff>0</xdr:colOff>
      <xdr:row>15</xdr:row>
      <xdr:rowOff>152400</xdr:rowOff>
    </xdr:to>
    <xdr:sp macro="" textlink="">
      <xdr:nvSpPr>
        <xdr:cNvPr id="4101" name="Text Box 5"/>
        <xdr:cNvSpPr txBox="1">
          <a:spLocks noChangeArrowheads="1"/>
        </xdr:cNvSpPr>
      </xdr:nvSpPr>
      <xdr:spPr bwMode="auto">
        <a:xfrm>
          <a:off x="5105400" y="1838325"/>
          <a:ext cx="2266950" cy="1628775"/>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    </a:t>
          </a:r>
          <a:r>
            <a:rPr lang="fr-FR" sz="1400" b="1" i="0" u="none" strike="noStrike" baseline="0">
              <a:solidFill>
                <a:srgbClr val="000000"/>
              </a:solidFill>
              <a:latin typeface="Arial"/>
              <a:cs typeface="Arial"/>
            </a:rPr>
            <a:t>     </a:t>
          </a:r>
          <a:r>
            <a:rPr lang="fr-FR" sz="1400" b="0" i="0" u="none" strike="noStrike" baseline="0">
              <a:solidFill>
                <a:srgbClr val="000000"/>
              </a:solidFill>
              <a:latin typeface="Arial"/>
              <a:cs typeface="Arial"/>
            </a:rPr>
            <a:t> P</a:t>
          </a:r>
          <a:r>
            <a:rPr lang="fr-FR" sz="1400" b="0" i="0" u="none" strike="noStrike" baseline="-25000">
              <a:solidFill>
                <a:srgbClr val="000000"/>
              </a:solidFill>
              <a:latin typeface="Arial"/>
              <a:cs typeface="Arial"/>
            </a:rPr>
            <a:t>C</a:t>
          </a:r>
          <a:r>
            <a:rPr lang="fr-FR" sz="1400" b="0" i="0" u="none" strike="noStrike" baseline="0">
              <a:solidFill>
                <a:srgbClr val="000000"/>
              </a:solidFill>
              <a:latin typeface="Arial"/>
              <a:cs typeface="Arial"/>
            </a:rPr>
            <a:t>.</a:t>
          </a:r>
          <a:r>
            <a:rPr lang="fr-FR" sz="1400" b="0" i="0" u="none" strike="noStrike" baseline="0">
              <a:solidFill>
                <a:srgbClr val="000000"/>
              </a:solidFill>
              <a:latin typeface="Symbol"/>
            </a:rPr>
            <a:t>t</a:t>
          </a:r>
          <a:r>
            <a:rPr lang="fr-FR" sz="1400" b="0" i="0" u="none" strike="noStrike" baseline="0">
              <a:solidFill>
                <a:srgbClr val="000000"/>
              </a:solidFill>
              <a:latin typeface="Arial"/>
              <a:cs typeface="Arial"/>
            </a:rPr>
            <a:t>.G</a:t>
          </a:r>
          <a:r>
            <a:rPr lang="fr-FR" sz="1400" b="0" i="0" u="none" strike="noStrike" baseline="30000">
              <a:solidFill>
                <a:srgbClr val="000000"/>
              </a:solidFill>
              <a:latin typeface="Arial"/>
              <a:cs typeface="Arial"/>
            </a:rPr>
            <a:t>2</a:t>
          </a:r>
          <a:r>
            <a:rPr lang="fr-FR" sz="1400" b="0" i="0" u="none" strike="noStrike" baseline="0">
              <a:solidFill>
                <a:srgbClr val="000000"/>
              </a:solidFill>
              <a:latin typeface="Arial"/>
              <a:cs typeface="Arial"/>
            </a:rPr>
            <a:t>.</a:t>
          </a:r>
          <a:r>
            <a:rPr lang="fr-FR" sz="1400" b="0" i="0" u="none" strike="noStrike" baseline="0">
              <a:solidFill>
                <a:srgbClr val="000000"/>
              </a:solidFill>
              <a:latin typeface="Symbol"/>
            </a:rPr>
            <a:t>l</a:t>
          </a:r>
          <a:r>
            <a:rPr lang="fr-FR" sz="1400" b="0" i="0" u="none" strike="noStrike" baseline="30000">
              <a:solidFill>
                <a:srgbClr val="000000"/>
              </a:solidFill>
              <a:latin typeface="Arial"/>
              <a:cs typeface="Arial"/>
            </a:rPr>
            <a:t>2</a:t>
          </a:r>
          <a:r>
            <a:rPr lang="fr-FR" sz="1400" b="0" i="0" u="none" strike="noStrike" baseline="0">
              <a:solidFill>
                <a:srgbClr val="000000"/>
              </a:solidFill>
              <a:latin typeface="Symbol"/>
            </a:rPr>
            <a:t>.s</a:t>
          </a:r>
          <a:endParaRPr lang="fr-FR" sz="1400" b="0" i="0" u="none" strike="noStrike" baseline="0">
            <a:solidFill>
              <a:srgbClr val="000000"/>
            </a:solidFill>
            <a:latin typeface="Arial"/>
            <a:cs typeface="Arial"/>
          </a:endParaRPr>
        </a:p>
        <a:p>
          <a:pPr algn="l" rtl="0">
            <a:defRPr sz="1000"/>
          </a:pPr>
          <a:r>
            <a:rPr lang="fr-FR" sz="1400" b="0" i="0" u="none" strike="noStrike" baseline="0">
              <a:solidFill>
                <a:srgbClr val="000000"/>
              </a:solidFill>
              <a:latin typeface="Arial"/>
              <a:cs typeface="Arial"/>
            </a:rPr>
            <a:t>  D</a:t>
          </a:r>
          <a:r>
            <a:rPr lang="fr-FR" sz="1400" b="0" i="0" u="none" strike="noStrike" baseline="30000">
              <a:solidFill>
                <a:srgbClr val="000000"/>
              </a:solidFill>
              <a:latin typeface="Arial"/>
              <a:cs typeface="Arial"/>
            </a:rPr>
            <a:t>4</a:t>
          </a:r>
          <a:r>
            <a:rPr lang="fr-FR" sz="1400" b="0" i="0" u="none" strike="noStrike" baseline="0">
              <a:solidFill>
                <a:srgbClr val="000000"/>
              </a:solidFill>
              <a:latin typeface="Arial"/>
              <a:cs typeface="Arial"/>
            </a:rPr>
            <a:t> = -----------------------------</a:t>
          </a:r>
        </a:p>
        <a:p>
          <a:pPr algn="l" rtl="0">
            <a:defRPr sz="1000"/>
          </a:pPr>
          <a:r>
            <a:rPr lang="fr-FR" sz="1400" b="0" i="0" u="none" strike="noStrike" baseline="0">
              <a:solidFill>
                <a:srgbClr val="000000"/>
              </a:solidFill>
              <a:latin typeface="Arial"/>
              <a:cs typeface="Arial"/>
            </a:rPr>
            <a:t>           </a:t>
          </a:r>
          <a:r>
            <a:rPr lang="fr-FR" sz="1400" b="0" i="0" u="none" strike="noStrike" baseline="0">
              <a:solidFill>
                <a:srgbClr val="000000"/>
              </a:solidFill>
              <a:latin typeface="Symbol"/>
            </a:rPr>
            <a:t>(4p)</a:t>
          </a:r>
          <a:r>
            <a:rPr lang="fr-FR" sz="1400" b="0" i="0" u="none" strike="noStrike" baseline="30000">
              <a:solidFill>
                <a:srgbClr val="000000"/>
              </a:solidFill>
              <a:latin typeface="Arial"/>
              <a:cs typeface="Arial"/>
            </a:rPr>
            <a:t>3</a:t>
          </a:r>
          <a:r>
            <a:rPr lang="fr-FR" sz="1400" b="0" i="0" u="none" strike="noStrike" baseline="0">
              <a:solidFill>
                <a:srgbClr val="000000"/>
              </a:solidFill>
              <a:latin typeface="Arial"/>
              <a:cs typeface="Arial"/>
            </a:rPr>
            <a:t>.(S/B).F.kT</a:t>
          </a:r>
          <a:r>
            <a:rPr lang="fr-FR" sz="1400" b="0" i="0" u="none" strike="noStrike" baseline="-25000">
              <a:solidFill>
                <a:srgbClr val="000000"/>
              </a:solidFill>
              <a:latin typeface="Arial"/>
              <a:cs typeface="Arial"/>
            </a:rPr>
            <a:t>0</a:t>
          </a:r>
          <a:r>
            <a:rPr lang="fr-FR" sz="1400" b="0" i="0" u="none" strike="noStrike" baseline="0">
              <a:solidFill>
                <a:srgbClr val="000000"/>
              </a:solidFill>
              <a:latin typeface="Arial"/>
              <a:cs typeface="Arial"/>
            </a:rPr>
            <a:t>.L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20</xdr:row>
      <xdr:rowOff>0</xdr:rowOff>
    </xdr:from>
    <xdr:to>
      <xdr:col>20</xdr:col>
      <xdr:colOff>352425</xdr:colOff>
      <xdr:row>46</xdr:row>
      <xdr:rowOff>123825</xdr:rowOff>
    </xdr:to>
    <xdr:graphicFrame macro="">
      <xdr:nvGraphicFramePr>
        <xdr:cNvPr id="110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200025</xdr:colOff>
      <xdr:row>23</xdr:row>
      <xdr:rowOff>28575</xdr:rowOff>
    </xdr:from>
    <xdr:to>
      <xdr:col>0</xdr:col>
      <xdr:colOff>1143000</xdr:colOff>
      <xdr:row>28</xdr:row>
      <xdr:rowOff>38100</xdr:rowOff>
    </xdr:to>
    <xdr:sp macro="" textlink="">
      <xdr:nvSpPr>
        <xdr:cNvPr id="1026" name="AutoShape 2"/>
        <xdr:cNvSpPr>
          <a:spLocks/>
        </xdr:cNvSpPr>
      </xdr:nvSpPr>
      <xdr:spPr bwMode="auto">
        <a:xfrm>
          <a:off x="200025" y="3810000"/>
          <a:ext cx="942975" cy="876300"/>
        </a:xfrm>
        <a:prstGeom prst="accentBorderCallout3">
          <a:avLst>
            <a:gd name="adj1" fmla="val 13481"/>
            <a:gd name="adj2" fmla="val 108079"/>
            <a:gd name="adj3" fmla="val 13481"/>
            <a:gd name="adj4" fmla="val 122222"/>
            <a:gd name="adj5" fmla="val 87639"/>
            <a:gd name="adj6" fmla="val 122222"/>
            <a:gd name="adj7" fmla="val 151685"/>
            <a:gd name="adj8" fmla="val 83838"/>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endParaRPr lang="fr-FR" sz="1100" b="0" i="0" u="none" strike="noStrike" baseline="0">
            <a:solidFill>
              <a:srgbClr val="000000"/>
            </a:solidFill>
            <a:latin typeface="Arial"/>
            <a:cs typeface="Arial"/>
          </a:endParaRPr>
        </a:p>
        <a:p>
          <a:pPr algn="ctr" rtl="0">
            <a:defRPr sz="1000"/>
          </a:pPr>
          <a:r>
            <a:rPr lang="fr-FR" sz="1100" b="0" i="0" u="none" strike="noStrike" baseline="0">
              <a:solidFill>
                <a:srgbClr val="000000"/>
              </a:solidFill>
              <a:latin typeface="Arial"/>
              <a:cs typeface="Arial"/>
            </a:rPr>
            <a:t>Pret</a:t>
          </a:r>
        </a:p>
        <a:p>
          <a:pPr algn="ctr" rtl="0">
            <a:defRPr sz="1000"/>
          </a:pPr>
          <a:r>
            <a:rPr lang="fr-FR" sz="1100" b="0" i="0" u="none" strike="noStrike" baseline="0">
              <a:solidFill>
                <a:srgbClr val="000000"/>
              </a:solidFill>
              <a:latin typeface="Arial"/>
              <a:cs typeface="Arial"/>
            </a:rPr>
            <a:t> à</a:t>
          </a:r>
        </a:p>
        <a:p>
          <a:pPr algn="ctr" rtl="0">
            <a:defRPr sz="1000"/>
          </a:pPr>
          <a:r>
            <a:rPr lang="fr-FR" sz="1100" b="0" i="0" u="none" strike="noStrike" baseline="0">
              <a:solidFill>
                <a:srgbClr val="000000"/>
              </a:solidFill>
              <a:latin typeface="Arial"/>
              <a:cs typeface="Arial"/>
            </a:rPr>
            <a:t> continuer ?</a:t>
          </a:r>
          <a:r>
            <a:rPr lang="fr-FR" sz="1000" b="0" i="0" u="none" strike="noStrike" baseline="0">
              <a:solidFill>
                <a:srgbClr val="000000"/>
              </a:solidFill>
              <a:latin typeface="Arial"/>
              <a:cs typeface="Arial"/>
            </a:rPr>
            <a:t> </a:t>
          </a:r>
        </a:p>
      </xdr:txBody>
    </xdr:sp>
    <xdr:clientData/>
  </xdr:twoCellAnchor>
  <xdr:twoCellAnchor>
    <xdr:from>
      <xdr:col>0</xdr:col>
      <xdr:colOff>133346</xdr:colOff>
      <xdr:row>38</xdr:row>
      <xdr:rowOff>47624</xdr:rowOff>
    </xdr:from>
    <xdr:to>
      <xdr:col>0</xdr:col>
      <xdr:colOff>1181095</xdr:colOff>
      <xdr:row>46</xdr:row>
      <xdr:rowOff>133350</xdr:rowOff>
    </xdr:to>
    <xdr:sp macro="" textlink="">
      <xdr:nvSpPr>
        <xdr:cNvPr id="1029" name="AutoShape 5"/>
        <xdr:cNvSpPr>
          <a:spLocks/>
        </xdr:cNvSpPr>
      </xdr:nvSpPr>
      <xdr:spPr bwMode="auto">
        <a:xfrm flipH="1">
          <a:off x="133346" y="5029199"/>
          <a:ext cx="1047749" cy="1504951"/>
        </a:xfrm>
        <a:prstGeom prst="accentBorderCallout3">
          <a:avLst>
            <a:gd name="adj1" fmla="val 13481"/>
            <a:gd name="adj2" fmla="val -8083"/>
            <a:gd name="adj3" fmla="val 13481"/>
            <a:gd name="adj4" fmla="val -26264"/>
            <a:gd name="adj5" fmla="val 59634"/>
            <a:gd name="adj6" fmla="val -25557"/>
            <a:gd name="adj7" fmla="val 139552"/>
            <a:gd name="adj8" fmla="val -24952"/>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endParaRPr lang="fr-FR" sz="1050" b="0" i="0" u="none" strike="noStrike" baseline="0">
            <a:solidFill>
              <a:srgbClr val="000000"/>
            </a:solidFill>
            <a:latin typeface="Arial"/>
            <a:cs typeface="Arial"/>
          </a:endParaRPr>
        </a:p>
        <a:p>
          <a:pPr algn="ctr" rtl="0">
            <a:defRPr sz="1000"/>
          </a:pPr>
          <a:r>
            <a:rPr lang="fr-FR" sz="1100" b="0" i="0" u="none" strike="noStrike" baseline="0">
              <a:solidFill>
                <a:srgbClr val="000000"/>
              </a:solidFill>
              <a:latin typeface="Arial"/>
              <a:cs typeface="Arial"/>
            </a:rPr>
            <a:t>Entrer ici</a:t>
          </a:r>
        </a:p>
        <a:p>
          <a:pPr algn="ctr" rtl="0">
            <a:defRPr sz="1000"/>
          </a:pPr>
          <a:r>
            <a:rPr lang="fr-FR" sz="1100" b="0" i="0" u="none" strike="noStrike" baseline="0">
              <a:solidFill>
                <a:srgbClr val="000000"/>
              </a:solidFill>
              <a:latin typeface="Arial"/>
              <a:cs typeface="Arial"/>
            </a:rPr>
            <a:t>le gain de l'antenne :</a:t>
          </a:r>
        </a:p>
        <a:p>
          <a:pPr algn="ctr" rtl="0">
            <a:defRPr sz="1000"/>
          </a:pPr>
          <a:r>
            <a:rPr lang="fr-FR" sz="1100" b="0" i="0" u="none" strike="noStrike" baseline="0">
              <a:solidFill>
                <a:srgbClr val="FF0000"/>
              </a:solidFill>
              <a:latin typeface="Arial"/>
              <a:cs typeface="Arial"/>
            </a:rPr>
            <a:t> en dB,</a:t>
          </a:r>
          <a:endParaRPr lang="fr-FR" sz="1100" b="0" i="0" u="none" strike="noStrike" baseline="0">
            <a:solidFill>
              <a:srgbClr val="000000"/>
            </a:solidFill>
            <a:latin typeface="Arial"/>
            <a:cs typeface="Arial"/>
          </a:endParaRPr>
        </a:p>
        <a:p>
          <a:pPr algn="ctr" rtl="0">
            <a:defRPr sz="1000"/>
          </a:pPr>
          <a:r>
            <a:rPr lang="fr-FR" sz="1100" b="0" i="0" u="none" strike="noStrike" baseline="0">
              <a:solidFill>
                <a:srgbClr val="000000"/>
              </a:solidFill>
              <a:latin typeface="Arial"/>
              <a:cs typeface="Arial"/>
            </a:rPr>
            <a:t> </a:t>
          </a:r>
          <a:r>
            <a:rPr lang="fr-FR" sz="1100" b="0" i="0" u="none" strike="noStrike" baseline="0">
              <a:solidFill>
                <a:srgbClr val="008000"/>
              </a:solidFill>
              <a:latin typeface="Arial"/>
              <a:cs typeface="Arial"/>
            </a:rPr>
            <a:t>au calage nominal, </a:t>
          </a:r>
          <a:endParaRPr lang="fr-FR" sz="1100" b="0" i="0" u="none" strike="noStrike" baseline="0">
            <a:solidFill>
              <a:srgbClr val="000000"/>
            </a:solidFill>
            <a:latin typeface="Arial"/>
            <a:cs typeface="Arial"/>
          </a:endParaRPr>
        </a:p>
        <a:p>
          <a:pPr algn="ctr" rtl="0">
            <a:defRPr sz="1000"/>
          </a:pPr>
          <a:r>
            <a:rPr lang="fr-FR" sz="1100" b="0" i="0" u="none" strike="noStrike" baseline="0">
              <a:solidFill>
                <a:srgbClr val="800080"/>
              </a:solidFill>
              <a:latin typeface="Arial"/>
              <a:cs typeface="Arial"/>
            </a:rPr>
            <a:t>pour les sites indiqués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17</xdr:row>
      <xdr:rowOff>142875</xdr:rowOff>
    </xdr:from>
    <xdr:to>
      <xdr:col>0</xdr:col>
      <xdr:colOff>1057275</xdr:colOff>
      <xdr:row>23</xdr:row>
      <xdr:rowOff>133350</xdr:rowOff>
    </xdr:to>
    <xdr:graphicFrame macro="">
      <xdr:nvGraphicFramePr>
        <xdr:cNvPr id="320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27</xdr:row>
      <xdr:rowOff>28575</xdr:rowOff>
    </xdr:from>
    <xdr:to>
      <xdr:col>0</xdr:col>
      <xdr:colOff>895350</xdr:colOff>
      <xdr:row>31</xdr:row>
      <xdr:rowOff>76200</xdr:rowOff>
    </xdr:to>
    <xdr:sp macro="" textlink="">
      <xdr:nvSpPr>
        <xdr:cNvPr id="3078" name="AutoShape 6"/>
        <xdr:cNvSpPr>
          <a:spLocks/>
        </xdr:cNvSpPr>
      </xdr:nvSpPr>
      <xdr:spPr bwMode="auto">
        <a:xfrm flipV="1">
          <a:off x="104775" y="3171825"/>
          <a:ext cx="790575" cy="695325"/>
        </a:xfrm>
        <a:prstGeom prst="accentBorderCallout3">
          <a:avLst>
            <a:gd name="adj1" fmla="val 83560"/>
            <a:gd name="adj2" fmla="val 109634"/>
            <a:gd name="adj3" fmla="val 83560"/>
            <a:gd name="adj4" fmla="val 121685"/>
            <a:gd name="adj5" fmla="val 132875"/>
            <a:gd name="adj6" fmla="val 121685"/>
            <a:gd name="adj7" fmla="val 179449"/>
            <a:gd name="adj8" fmla="val 50602"/>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Avez-vous bien initié le gain d'antenne ?</a:t>
          </a:r>
        </a:p>
      </xdr:txBody>
    </xdr:sp>
    <xdr:clientData/>
  </xdr:twoCellAnchor>
  <xdr:twoCellAnchor>
    <xdr:from>
      <xdr:col>1</xdr:col>
      <xdr:colOff>104775</xdr:colOff>
      <xdr:row>9</xdr:row>
      <xdr:rowOff>47625</xdr:rowOff>
    </xdr:from>
    <xdr:to>
      <xdr:col>14</xdr:col>
      <xdr:colOff>447675</xdr:colOff>
      <xdr:row>38</xdr:row>
      <xdr:rowOff>66675</xdr:rowOff>
    </xdr:to>
    <xdr:graphicFrame macro="">
      <xdr:nvGraphicFramePr>
        <xdr:cNvPr id="320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12</xdr:row>
      <xdr:rowOff>57150</xdr:rowOff>
    </xdr:from>
    <xdr:to>
      <xdr:col>14</xdr:col>
      <xdr:colOff>57150</xdr:colOff>
      <xdr:row>14</xdr:row>
      <xdr:rowOff>19050</xdr:rowOff>
    </xdr:to>
    <xdr:sp macro="" textlink="">
      <xdr:nvSpPr>
        <xdr:cNvPr id="3074" name="Text Box 2"/>
        <xdr:cNvSpPr txBox="1">
          <a:spLocks noChangeArrowheads="1"/>
        </xdr:cNvSpPr>
      </xdr:nvSpPr>
      <xdr:spPr bwMode="auto">
        <a:xfrm>
          <a:off x="6543675" y="609600"/>
          <a:ext cx="1685925" cy="371475"/>
        </a:xfrm>
        <a:prstGeom prst="rect">
          <a:avLst/>
        </a:prstGeom>
        <a:solidFill>
          <a:srgbClr val="FFFFFF"/>
        </a:solidFill>
        <a:ln w="9525">
          <a:solidFill>
            <a:srgbClr val="000000"/>
          </a:solidFill>
          <a:miter lim="800000"/>
          <a:headEnd/>
          <a:tailEnd/>
        </a:ln>
      </xdr:spPr>
      <xdr:txBody>
        <a:bodyPr vertOverflow="clip" wrap="square" lIns="27432" tIns="22860" rIns="27432" bIns="0" anchor="t" upright="1"/>
        <a:lstStyle/>
        <a:p>
          <a:pPr algn="ctr" rtl="0">
            <a:defRPr sz="1000"/>
          </a:pPr>
          <a:endParaRPr lang="fr-FR" sz="1000" b="0" i="0" u="none" strike="noStrike" baseline="0">
            <a:solidFill>
              <a:srgbClr val="000000"/>
            </a:solidFill>
            <a:latin typeface="Arial"/>
            <a:cs typeface="Arial"/>
          </a:endParaRPr>
        </a:p>
        <a:p>
          <a:pPr algn="ctr" rtl="0">
            <a:defRPr sz="1000"/>
          </a:pPr>
          <a:r>
            <a:rPr lang="fr-FR" sz="1000" b="0" i="0" u="none" strike="noStrike" baseline="0">
              <a:solidFill>
                <a:srgbClr val="000000"/>
              </a:solidFill>
              <a:latin typeface="Arial"/>
              <a:cs typeface="Arial"/>
            </a:rPr>
            <a:t>Z = D*sin(s)+(D*D)/(2*R)</a:t>
          </a:r>
        </a:p>
      </xdr:txBody>
    </xdr:sp>
    <xdr:clientData/>
  </xdr:twoCellAnchor>
  <xdr:twoCellAnchor>
    <xdr:from>
      <xdr:col>0</xdr:col>
      <xdr:colOff>104775</xdr:colOff>
      <xdr:row>32</xdr:row>
      <xdr:rowOff>133350</xdr:rowOff>
    </xdr:from>
    <xdr:to>
      <xdr:col>0</xdr:col>
      <xdr:colOff>904875</xdr:colOff>
      <xdr:row>37</xdr:row>
      <xdr:rowOff>104775</xdr:rowOff>
    </xdr:to>
    <xdr:sp macro="" textlink="">
      <xdr:nvSpPr>
        <xdr:cNvPr id="3080" name="Text Box 8"/>
        <xdr:cNvSpPr txBox="1">
          <a:spLocks noChangeArrowheads="1"/>
        </xdr:cNvSpPr>
      </xdr:nvSpPr>
      <xdr:spPr bwMode="auto">
        <a:xfrm>
          <a:off x="104775" y="4086225"/>
          <a:ext cx="800100" cy="781050"/>
        </a:xfrm>
        <a:prstGeom prst="rect">
          <a:avLst/>
        </a:prstGeom>
        <a:solidFill>
          <a:srgbClr val="FFFFFF"/>
        </a:solidFill>
        <a:ln w="19050">
          <a:solidFill>
            <a:srgbClr val="000000"/>
          </a:solidFill>
          <a:miter lim="800000"/>
          <a:headEnd/>
          <a:tailEnd/>
        </a:ln>
      </xdr:spPr>
      <xdr:txBody>
        <a:bodyPr vertOverflow="clip" wrap="square" lIns="27432" tIns="22860" rIns="27432" bIns="0" anchor="t" upright="1"/>
        <a:lstStyle/>
        <a:p>
          <a:pPr algn="ctr" rtl="0">
            <a:defRPr sz="1000"/>
          </a:pPr>
          <a:r>
            <a:rPr lang="fr-FR" sz="1000" b="1" i="0" u="none" strike="noStrike" baseline="0">
              <a:solidFill>
                <a:srgbClr val="000000"/>
              </a:solidFill>
              <a:latin typeface="Arial"/>
              <a:cs typeface="Arial"/>
            </a:rPr>
            <a:t>D</a:t>
          </a:r>
          <a:r>
            <a:rPr lang="fr-FR" sz="1000" b="1" i="0" u="none" strike="noStrike" baseline="-25000">
              <a:solidFill>
                <a:srgbClr val="000000"/>
              </a:solidFill>
              <a:latin typeface="Arial"/>
              <a:cs typeface="Arial"/>
            </a:rPr>
            <a:t>0</a:t>
          </a:r>
          <a:r>
            <a:rPr lang="fr-FR" sz="1000" b="1" i="0" u="none" strike="noStrike" baseline="0">
              <a:solidFill>
                <a:srgbClr val="000000"/>
              </a:solidFill>
              <a:latin typeface="Arial"/>
              <a:cs typeface="Arial"/>
            </a:rPr>
            <a:t> </a:t>
          </a:r>
          <a:endParaRPr lang="fr-FR" sz="1000" b="0" i="0" u="none" strike="noStrike" baseline="0">
            <a:solidFill>
              <a:srgbClr val="000000"/>
            </a:solidFill>
            <a:latin typeface="Arial"/>
            <a:cs typeface="Arial"/>
          </a:endParaRPr>
        </a:p>
        <a:p>
          <a:pPr algn="ctr" rtl="0">
            <a:defRPr sz="1000"/>
          </a:pPr>
          <a:r>
            <a:rPr lang="fr-FR" sz="1000" b="0" i="0" u="none" strike="noStrike" baseline="0">
              <a:solidFill>
                <a:srgbClr val="000000"/>
              </a:solidFill>
              <a:latin typeface="Arial"/>
              <a:cs typeface="Arial"/>
            </a:rPr>
            <a:t>est issu de l'équation du radar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29</xdr:row>
      <xdr:rowOff>95250</xdr:rowOff>
    </xdr:from>
    <xdr:to>
      <xdr:col>0</xdr:col>
      <xdr:colOff>1057275</xdr:colOff>
      <xdr:row>41</xdr:row>
      <xdr:rowOff>123825</xdr:rowOff>
    </xdr:to>
    <xdr:grpSp>
      <xdr:nvGrpSpPr>
        <xdr:cNvPr id="5297" name="Group 4"/>
        <xdr:cNvGrpSpPr>
          <a:grpSpLocks/>
        </xdr:cNvGrpSpPr>
      </xdr:nvGrpSpPr>
      <xdr:grpSpPr bwMode="auto">
        <a:xfrm>
          <a:off x="28575" y="2676525"/>
          <a:ext cx="1028700" cy="1857375"/>
          <a:chOff x="3" y="358"/>
          <a:chExt cx="108" cy="195"/>
        </a:xfrm>
      </xdr:grpSpPr>
      <xdr:graphicFrame macro="">
        <xdr:nvGraphicFramePr>
          <xdr:cNvPr id="5302" name="Chart 1"/>
          <xdr:cNvGraphicFramePr>
            <a:graphicFrameLocks/>
          </xdr:cNvGraphicFramePr>
        </xdr:nvGraphicFramePr>
        <xdr:xfrm>
          <a:off x="3" y="358"/>
          <a:ext cx="108" cy="9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123" name="AutoShape 3"/>
          <xdr:cNvSpPr>
            <a:spLocks/>
          </xdr:cNvSpPr>
        </xdr:nvSpPr>
        <xdr:spPr bwMode="auto">
          <a:xfrm flipV="1">
            <a:off x="9" y="484"/>
            <a:ext cx="83" cy="69"/>
          </a:xfrm>
          <a:prstGeom prst="accentBorderCallout3">
            <a:avLst>
              <a:gd name="adj1" fmla="val 82606"/>
              <a:gd name="adj2" fmla="val 109634"/>
              <a:gd name="adj3" fmla="val 82606"/>
              <a:gd name="adj4" fmla="val 121685"/>
              <a:gd name="adj5" fmla="val 114491"/>
              <a:gd name="adj6" fmla="val 121685"/>
              <a:gd name="adj7" fmla="val 143477"/>
              <a:gd name="adj8" fmla="val 48190"/>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Avez-vous bien initié le gain d'antenne ?</a:t>
            </a:r>
          </a:p>
        </xdr:txBody>
      </xdr:sp>
    </xdr:grpSp>
    <xdr:clientData/>
  </xdr:twoCellAnchor>
  <xdr:twoCellAnchor>
    <xdr:from>
      <xdr:col>0</xdr:col>
      <xdr:colOff>142875</xdr:colOff>
      <xdr:row>24</xdr:row>
      <xdr:rowOff>95250</xdr:rowOff>
    </xdr:from>
    <xdr:to>
      <xdr:col>0</xdr:col>
      <xdr:colOff>895350</xdr:colOff>
      <xdr:row>28</xdr:row>
      <xdr:rowOff>114300</xdr:rowOff>
    </xdr:to>
    <xdr:sp macro="" textlink="">
      <xdr:nvSpPr>
        <xdr:cNvPr id="5125" name="AutoShape 5"/>
        <xdr:cNvSpPr>
          <a:spLocks/>
        </xdr:cNvSpPr>
      </xdr:nvSpPr>
      <xdr:spPr bwMode="auto">
        <a:xfrm>
          <a:off x="142875" y="1962150"/>
          <a:ext cx="752475" cy="590550"/>
        </a:xfrm>
        <a:prstGeom prst="accentBorderCallout3">
          <a:avLst>
            <a:gd name="adj1" fmla="val 18181"/>
            <a:gd name="adj2" fmla="val 110125"/>
            <a:gd name="adj3" fmla="val 18181"/>
            <a:gd name="adj4" fmla="val 129116"/>
            <a:gd name="adj5" fmla="val -9093"/>
            <a:gd name="adj6" fmla="val 129116"/>
            <a:gd name="adj7" fmla="val -39394"/>
            <a:gd name="adj8" fmla="val 43037"/>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Entrer ici</a:t>
          </a:r>
        </a:p>
        <a:p>
          <a:pPr algn="ctr" rtl="0">
            <a:defRPr sz="1000"/>
          </a:pPr>
          <a:r>
            <a:rPr lang="fr-FR" sz="1000" b="0" i="0" u="none" strike="noStrike" baseline="0">
              <a:solidFill>
                <a:srgbClr val="000000"/>
              </a:solidFill>
              <a:latin typeface="Arial"/>
              <a:cs typeface="Arial"/>
            </a:rPr>
            <a:t>L'attitude de vol </a:t>
          </a:r>
          <a:r>
            <a:rPr lang="fr-FR" sz="1000" b="1" i="0" u="none" strike="noStrike" baseline="0">
              <a:solidFill>
                <a:srgbClr val="000000"/>
              </a:solidFill>
              <a:latin typeface="Arial"/>
              <a:cs typeface="Arial"/>
            </a:rPr>
            <a:t>Z</a:t>
          </a:r>
          <a:r>
            <a:rPr lang="fr-FR" sz="1000" b="1" i="0" u="none" strike="noStrike" baseline="-25000">
              <a:solidFill>
                <a:srgbClr val="000000"/>
              </a:solidFill>
              <a:latin typeface="Arial"/>
              <a:cs typeface="Arial"/>
            </a:rPr>
            <a:t>V</a:t>
          </a:r>
        </a:p>
      </xdr:txBody>
    </xdr:sp>
    <xdr:clientData/>
  </xdr:twoCellAnchor>
  <xdr:twoCellAnchor>
    <xdr:from>
      <xdr:col>1</xdr:col>
      <xdr:colOff>85725</xdr:colOff>
      <xdr:row>15</xdr:row>
      <xdr:rowOff>47625</xdr:rowOff>
    </xdr:from>
    <xdr:to>
      <xdr:col>14</xdr:col>
      <xdr:colOff>361950</xdr:colOff>
      <xdr:row>46</xdr:row>
      <xdr:rowOff>66675</xdr:rowOff>
    </xdr:to>
    <xdr:graphicFrame macro="">
      <xdr:nvGraphicFramePr>
        <xdr:cNvPr id="529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466725</xdr:colOff>
      <xdr:row>42</xdr:row>
      <xdr:rowOff>104775</xdr:rowOff>
    </xdr:from>
    <xdr:to>
      <xdr:col>14</xdr:col>
      <xdr:colOff>85725</xdr:colOff>
      <xdr:row>44</xdr:row>
      <xdr:rowOff>85725</xdr:rowOff>
    </xdr:to>
    <xdr:sp macro="" textlink="">
      <xdr:nvSpPr>
        <xdr:cNvPr id="5127" name="Text Box 7"/>
        <xdr:cNvSpPr txBox="1">
          <a:spLocks noChangeArrowheads="1"/>
        </xdr:cNvSpPr>
      </xdr:nvSpPr>
      <xdr:spPr bwMode="auto">
        <a:xfrm>
          <a:off x="7639050" y="4667250"/>
          <a:ext cx="704850" cy="28575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D en km</a:t>
          </a:r>
        </a:p>
      </xdr:txBody>
    </xdr:sp>
    <xdr:clientData/>
  </xdr:twoCellAnchor>
  <xdr:twoCellAnchor>
    <xdr:from>
      <xdr:col>1</xdr:col>
      <xdr:colOff>533400</xdr:colOff>
      <xdr:row>17</xdr:row>
      <xdr:rowOff>57150</xdr:rowOff>
    </xdr:from>
    <xdr:to>
      <xdr:col>3</xdr:col>
      <xdr:colOff>66675</xdr:colOff>
      <xdr:row>19</xdr:row>
      <xdr:rowOff>95250</xdr:rowOff>
    </xdr:to>
    <xdr:sp macro="" textlink="">
      <xdr:nvSpPr>
        <xdr:cNvPr id="5128" name="Text Box 8"/>
        <xdr:cNvSpPr txBox="1">
          <a:spLocks noChangeArrowheads="1"/>
        </xdr:cNvSpPr>
      </xdr:nvSpPr>
      <xdr:spPr bwMode="auto">
        <a:xfrm>
          <a:off x="1647825" y="742950"/>
          <a:ext cx="704850" cy="285750"/>
        </a:xfrm>
        <a:prstGeom prst="rect">
          <a:avLst/>
        </a:prstGeom>
        <a:noFill/>
        <a:ln w="9525">
          <a:noFill/>
          <a:miter lim="800000"/>
          <a:headEnd/>
          <a:tailEnd/>
        </a:ln>
      </xdr:spPr>
      <xdr:txBody>
        <a:bodyPr vertOverflow="clip" wrap="square" lIns="27432" tIns="22860" rIns="0" bIns="0" anchor="t" upright="1"/>
        <a:lstStyle/>
        <a:p>
          <a:pPr algn="l" rtl="0">
            <a:defRPr sz="1000"/>
          </a:pPr>
          <a:r>
            <a:rPr lang="fr-FR" sz="1000" b="1" i="0" u="none" strike="noStrike" baseline="0">
              <a:solidFill>
                <a:srgbClr val="000000"/>
              </a:solidFill>
              <a:latin typeface="Arial"/>
              <a:cs typeface="Arial"/>
            </a:rPr>
            <a:t>S/B en dB</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26</xdr:row>
      <xdr:rowOff>19050</xdr:rowOff>
    </xdr:from>
    <xdr:to>
      <xdr:col>0</xdr:col>
      <xdr:colOff>895350</xdr:colOff>
      <xdr:row>30</xdr:row>
      <xdr:rowOff>114300</xdr:rowOff>
    </xdr:to>
    <xdr:sp macro="" textlink="">
      <xdr:nvSpPr>
        <xdr:cNvPr id="2056" name="AutoShape 8"/>
        <xdr:cNvSpPr>
          <a:spLocks/>
        </xdr:cNvSpPr>
      </xdr:nvSpPr>
      <xdr:spPr bwMode="auto">
        <a:xfrm flipV="1">
          <a:off x="152400" y="1314450"/>
          <a:ext cx="742950" cy="857250"/>
        </a:xfrm>
        <a:prstGeom prst="accentBorderCallout3">
          <a:avLst>
            <a:gd name="adj1" fmla="val 86667"/>
            <a:gd name="adj2" fmla="val 110255"/>
            <a:gd name="adj3" fmla="val 86667"/>
            <a:gd name="adj4" fmla="val 130769"/>
            <a:gd name="adj5" fmla="val 75556"/>
            <a:gd name="adj6" fmla="val 130769"/>
            <a:gd name="adj7" fmla="val 63333"/>
            <a:gd name="adj8" fmla="val 130769"/>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Choisissez ici le calage de l'antenne</a:t>
          </a:r>
        </a:p>
        <a:p>
          <a:pPr algn="ctr" rtl="0">
            <a:defRPr sz="1000"/>
          </a:pPr>
          <a:r>
            <a:rPr lang="fr-FR" sz="1000" b="0" i="0" u="none" strike="noStrike" baseline="0">
              <a:solidFill>
                <a:srgbClr val="000000"/>
              </a:solidFill>
              <a:latin typeface="Arial"/>
              <a:cs typeface="Arial"/>
            </a:rPr>
            <a:t>- 2° à +1 °</a:t>
          </a:r>
        </a:p>
      </xdr:txBody>
    </xdr:sp>
    <xdr:clientData/>
  </xdr:twoCellAnchor>
  <xdr:twoCellAnchor>
    <xdr:from>
      <xdr:col>0</xdr:col>
      <xdr:colOff>85725</xdr:colOff>
      <xdr:row>35</xdr:row>
      <xdr:rowOff>171450</xdr:rowOff>
    </xdr:from>
    <xdr:to>
      <xdr:col>0</xdr:col>
      <xdr:colOff>904875</xdr:colOff>
      <xdr:row>40</xdr:row>
      <xdr:rowOff>9525</xdr:rowOff>
    </xdr:to>
    <xdr:sp macro="" textlink="">
      <xdr:nvSpPr>
        <xdr:cNvPr id="2059" name="AutoShape 11"/>
        <xdr:cNvSpPr>
          <a:spLocks/>
        </xdr:cNvSpPr>
      </xdr:nvSpPr>
      <xdr:spPr bwMode="auto">
        <a:xfrm flipV="1">
          <a:off x="85725" y="4743450"/>
          <a:ext cx="819150" cy="790575"/>
        </a:xfrm>
        <a:prstGeom prst="accentBorderCallout3">
          <a:avLst>
            <a:gd name="adj1" fmla="val 85542"/>
            <a:gd name="adj2" fmla="val 109301"/>
            <a:gd name="adj3" fmla="val 85542"/>
            <a:gd name="adj4" fmla="val 141856"/>
            <a:gd name="adj5" fmla="val 104815"/>
            <a:gd name="adj6" fmla="val 141856"/>
            <a:gd name="adj7" fmla="val 125301"/>
            <a:gd name="adj8" fmla="val 140694"/>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Entrez ici la hauteur d'antenne en mètres</a:t>
          </a:r>
        </a:p>
      </xdr:txBody>
    </xdr:sp>
    <xdr:clientData/>
  </xdr:twoCellAnchor>
  <xdr:twoCellAnchor>
    <xdr:from>
      <xdr:col>0</xdr:col>
      <xdr:colOff>76200</xdr:colOff>
      <xdr:row>44</xdr:row>
      <xdr:rowOff>133349</xdr:rowOff>
    </xdr:from>
    <xdr:to>
      <xdr:col>0</xdr:col>
      <xdr:colOff>904875</xdr:colOff>
      <xdr:row>48</xdr:row>
      <xdr:rowOff>180974</xdr:rowOff>
    </xdr:to>
    <xdr:sp macro="" textlink="">
      <xdr:nvSpPr>
        <xdr:cNvPr id="2060" name="AutoShape 12"/>
        <xdr:cNvSpPr>
          <a:spLocks/>
        </xdr:cNvSpPr>
      </xdr:nvSpPr>
      <xdr:spPr bwMode="auto">
        <a:xfrm flipV="1">
          <a:off x="76200" y="6419849"/>
          <a:ext cx="828675" cy="809625"/>
        </a:xfrm>
        <a:prstGeom prst="accentBorderCallout3">
          <a:avLst>
            <a:gd name="adj1" fmla="val 85880"/>
            <a:gd name="adj2" fmla="val 110255"/>
            <a:gd name="adj3" fmla="val 84704"/>
            <a:gd name="adj4" fmla="val 133551"/>
            <a:gd name="adj5" fmla="val 4705"/>
            <a:gd name="adj6" fmla="val 132402"/>
            <a:gd name="adj7" fmla="val -25885"/>
            <a:gd name="adj8" fmla="val 105215"/>
          </a:avLst>
        </a:prstGeom>
        <a:solidFill>
          <a:srgbClr val="FFFFFF"/>
        </a:solidFill>
        <a:ln w="19050">
          <a:solidFill>
            <a:srgbClr val="000000"/>
          </a:solidFill>
          <a:miter lim="800000"/>
          <a:headEnd/>
          <a:tailEnd type="triangle" w="med" len="med"/>
        </a:ln>
      </xdr:spPr>
      <xdr:txBody>
        <a:bodyPr vertOverflow="clip" wrap="square" lIns="27432" tIns="22860" rIns="27432" bIns="0" anchor="t" upright="1"/>
        <a:lstStyle/>
        <a:p>
          <a:pPr algn="ctr" rtl="0">
            <a:defRPr sz="1000"/>
          </a:pPr>
          <a:endParaRPr lang="fr-FR" sz="1000" b="0" i="0" u="none" strike="noStrike" baseline="0">
            <a:solidFill>
              <a:srgbClr val="000000"/>
            </a:solidFill>
            <a:latin typeface="Arial"/>
            <a:cs typeface="Arial"/>
          </a:endParaRPr>
        </a:p>
        <a:p>
          <a:pPr algn="ctr" rtl="0">
            <a:defRPr sz="1000"/>
          </a:pPr>
          <a:r>
            <a:rPr lang="fr-FR" sz="1050" b="0" i="0" u="none" strike="noStrike" baseline="0">
              <a:solidFill>
                <a:srgbClr val="000000"/>
              </a:solidFill>
              <a:latin typeface="Arial"/>
              <a:cs typeface="Arial"/>
            </a:rPr>
            <a:t>Visualisation de l'effet de sol</a:t>
          </a:r>
        </a:p>
      </xdr:txBody>
    </xdr:sp>
    <xdr:clientData/>
  </xdr:twoCellAnchor>
  <xdr:twoCellAnchor>
    <xdr:from>
      <xdr:col>58</xdr:col>
      <xdr:colOff>19050</xdr:colOff>
      <xdr:row>26</xdr:row>
      <xdr:rowOff>76200</xdr:rowOff>
    </xdr:from>
    <xdr:to>
      <xdr:col>77</xdr:col>
      <xdr:colOff>123825</xdr:colOff>
      <xdr:row>51</xdr:row>
      <xdr:rowOff>95250</xdr:rowOff>
    </xdr:to>
    <xdr:graphicFrame macro="">
      <xdr:nvGraphicFramePr>
        <xdr:cNvPr id="218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77</xdr:col>
      <xdr:colOff>171450</xdr:colOff>
      <xdr:row>26</xdr:row>
      <xdr:rowOff>85725</xdr:rowOff>
    </xdr:from>
    <xdr:to>
      <xdr:col>83</xdr:col>
      <xdr:colOff>361950</xdr:colOff>
      <xdr:row>51</xdr:row>
      <xdr:rowOff>85725</xdr:rowOff>
    </xdr:to>
    <xdr:graphicFrame macro="">
      <xdr:nvGraphicFramePr>
        <xdr:cNvPr id="2188"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81</xdr:col>
      <xdr:colOff>333374</xdr:colOff>
      <xdr:row>47</xdr:row>
      <xdr:rowOff>171451</xdr:rowOff>
    </xdr:from>
    <xdr:to>
      <xdr:col>83</xdr:col>
      <xdr:colOff>285749</xdr:colOff>
      <xdr:row>49</xdr:row>
      <xdr:rowOff>38101</xdr:rowOff>
    </xdr:to>
    <xdr:sp macro="" textlink="">
      <xdr:nvSpPr>
        <xdr:cNvPr id="12" name="ZoneTexte 11"/>
        <xdr:cNvSpPr txBox="1"/>
      </xdr:nvSpPr>
      <xdr:spPr>
        <a:xfrm>
          <a:off x="10601324" y="4533901"/>
          <a:ext cx="71437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fr-FR" sz="1100" b="1"/>
            <a:t>D en Km</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304800</xdr:colOff>
      <xdr:row>20</xdr:row>
      <xdr:rowOff>200025</xdr:rowOff>
    </xdr:from>
    <xdr:to>
      <xdr:col>0</xdr:col>
      <xdr:colOff>1219200</xdr:colOff>
      <xdr:row>24</xdr:row>
      <xdr:rowOff>28575</xdr:rowOff>
    </xdr:to>
    <xdr:sp macro="" textlink="">
      <xdr:nvSpPr>
        <xdr:cNvPr id="2" name="AutoShape 1"/>
        <xdr:cNvSpPr>
          <a:spLocks/>
        </xdr:cNvSpPr>
      </xdr:nvSpPr>
      <xdr:spPr bwMode="auto">
        <a:xfrm flipH="1">
          <a:off x="304800" y="4000500"/>
          <a:ext cx="695325" cy="600075"/>
        </a:xfrm>
        <a:prstGeom prst="accentBorderCallout1">
          <a:avLst>
            <a:gd name="adj1" fmla="val 15384"/>
            <a:gd name="adj2" fmla="val -8333"/>
            <a:gd name="adj3" fmla="val 79487"/>
            <a:gd name="adj4" fmla="val -27083"/>
          </a:avLst>
        </a:prstGeom>
        <a:solidFill>
          <a:srgbClr val="FFFFFF"/>
        </a:solidFill>
        <a:ln w="19050">
          <a:solidFill>
            <a:srgbClr val="000000"/>
          </a:solidFill>
          <a:miter lim="800000"/>
          <a:headEnd/>
          <a:tailEnd/>
        </a:ln>
      </xdr:spPr>
      <xdr:txBody>
        <a:bodyPr vertOverflow="clip" wrap="square" lIns="27432" tIns="22860" rIns="27432" bIns="0" anchor="t" upright="1"/>
        <a:lstStyle/>
        <a:p>
          <a:pPr algn="ctr" rtl="0">
            <a:defRPr sz="1000"/>
          </a:pPr>
          <a:r>
            <a:rPr lang="fr-FR" sz="1200" b="0" i="0" u="none" strike="noStrike" baseline="0">
              <a:solidFill>
                <a:srgbClr val="000000"/>
              </a:solidFill>
              <a:latin typeface="Arial"/>
              <a:cs typeface="Arial"/>
            </a:rPr>
            <a:t>Saisie des données terminée ?</a:t>
          </a:r>
        </a:p>
      </xdr:txBody>
    </xdr:sp>
    <xdr:clientData/>
  </xdr:twoCellAnchor>
  <xdr:twoCellAnchor>
    <xdr:from>
      <xdr:col>0</xdr:col>
      <xdr:colOff>180975</xdr:colOff>
      <xdr:row>5</xdr:row>
      <xdr:rowOff>66675</xdr:rowOff>
    </xdr:from>
    <xdr:to>
      <xdr:col>0</xdr:col>
      <xdr:colOff>1257300</xdr:colOff>
      <xdr:row>14</xdr:row>
      <xdr:rowOff>19050</xdr:rowOff>
    </xdr:to>
    <xdr:sp macro="" textlink="">
      <xdr:nvSpPr>
        <xdr:cNvPr id="3" name="Text Box 2"/>
        <xdr:cNvSpPr txBox="1">
          <a:spLocks noChangeArrowheads="1"/>
        </xdr:cNvSpPr>
      </xdr:nvSpPr>
      <xdr:spPr bwMode="auto">
        <a:xfrm>
          <a:off x="180975" y="1019175"/>
          <a:ext cx="819150" cy="1666875"/>
        </a:xfrm>
        <a:prstGeom prst="rect">
          <a:avLst/>
        </a:prstGeom>
        <a:solidFill>
          <a:srgbClr val="FFFFFF"/>
        </a:solidFill>
        <a:ln w="19050">
          <a:solidFill>
            <a:srgbClr val="000000"/>
          </a:solidFill>
          <a:miter lim="800000"/>
          <a:headEnd/>
          <a:tailEnd/>
        </a:ln>
      </xdr:spPr>
      <xdr:txBody>
        <a:bodyPr vertOverflow="clip" wrap="square" lIns="27432" tIns="22860" rIns="27432" bIns="0" anchor="t" upright="1"/>
        <a:lstStyle/>
        <a:p>
          <a:pPr algn="ctr" rtl="0">
            <a:defRPr sz="1000"/>
          </a:pPr>
          <a:endParaRPr lang="fr-FR" sz="1000" b="0" i="0" u="none" strike="noStrike" baseline="0">
            <a:solidFill>
              <a:srgbClr val="000000"/>
            </a:solidFill>
            <a:latin typeface="Arial"/>
            <a:cs typeface="Arial"/>
          </a:endParaRPr>
        </a:p>
        <a:p>
          <a:pPr algn="ctr" rtl="0">
            <a:defRPr sz="1000"/>
          </a:pPr>
          <a:r>
            <a:rPr lang="fr-FR" sz="1200" b="1" i="0" u="none" strike="noStrike" baseline="0">
              <a:solidFill>
                <a:srgbClr val="000000"/>
              </a:solidFill>
              <a:latin typeface="Arial"/>
              <a:cs typeface="Arial"/>
            </a:rPr>
            <a:t>Entrer </a:t>
          </a:r>
        </a:p>
        <a:p>
          <a:pPr algn="ctr" rtl="0">
            <a:defRPr sz="1000"/>
          </a:pPr>
          <a:r>
            <a:rPr lang="fr-FR" sz="1200" b="1" i="0" u="none" strike="noStrike" baseline="0">
              <a:solidFill>
                <a:srgbClr val="000000"/>
              </a:solidFill>
              <a:latin typeface="Arial"/>
              <a:cs typeface="Arial"/>
            </a:rPr>
            <a:t>les valeurs </a:t>
          </a:r>
        </a:p>
        <a:p>
          <a:pPr algn="ctr" rtl="0">
            <a:defRPr sz="1000"/>
          </a:pPr>
          <a:r>
            <a:rPr lang="fr-FR" sz="1200" b="1" i="0" u="none" strike="noStrike" baseline="0">
              <a:solidFill>
                <a:srgbClr val="000000"/>
              </a:solidFill>
              <a:latin typeface="Arial"/>
              <a:cs typeface="Arial"/>
            </a:rPr>
            <a:t>des </a:t>
          </a:r>
        </a:p>
        <a:p>
          <a:pPr algn="ctr" rtl="0">
            <a:defRPr sz="1000"/>
          </a:pPr>
          <a:r>
            <a:rPr lang="fr-FR" sz="1200" b="1" i="0" u="none" strike="noStrike" baseline="0">
              <a:solidFill>
                <a:srgbClr val="000000"/>
              </a:solidFill>
              <a:latin typeface="Arial"/>
              <a:cs typeface="Arial"/>
            </a:rPr>
            <a:t>différents paramètres dans</a:t>
          </a:r>
        </a:p>
        <a:p>
          <a:pPr algn="ctr" rtl="0">
            <a:defRPr sz="1000"/>
          </a:pPr>
          <a:r>
            <a:rPr lang="fr-FR" sz="1200" b="1" i="0" u="none" strike="noStrike" baseline="0">
              <a:solidFill>
                <a:srgbClr val="000000"/>
              </a:solidFill>
              <a:latin typeface="Arial"/>
              <a:cs typeface="Arial"/>
            </a:rPr>
            <a:t> les unités demandées</a:t>
          </a:r>
        </a:p>
      </xdr:txBody>
    </xdr:sp>
    <xdr:clientData/>
  </xdr:twoCellAnchor>
  <xdr:twoCellAnchor>
    <xdr:from>
      <xdr:col>6</xdr:col>
      <xdr:colOff>85725</xdr:colOff>
      <xdr:row>7</xdr:row>
      <xdr:rowOff>95250</xdr:rowOff>
    </xdr:from>
    <xdr:to>
      <xdr:col>7</xdr:col>
      <xdr:colOff>809625</xdr:colOff>
      <xdr:row>14</xdr:row>
      <xdr:rowOff>104775</xdr:rowOff>
    </xdr:to>
    <xdr:sp macro="" textlink="">
      <xdr:nvSpPr>
        <xdr:cNvPr id="4" name="Text Box 3"/>
        <xdr:cNvSpPr txBox="1">
          <a:spLocks noChangeArrowheads="1"/>
        </xdr:cNvSpPr>
      </xdr:nvSpPr>
      <xdr:spPr bwMode="auto">
        <a:xfrm>
          <a:off x="6086475" y="1428750"/>
          <a:ext cx="1724025" cy="1343025"/>
        </a:xfrm>
        <a:prstGeom prst="rect">
          <a:avLst/>
        </a:prstGeom>
        <a:solidFill>
          <a:srgbClr val="FFFFFF"/>
        </a:solidFill>
        <a:ln w="19050">
          <a:solidFill>
            <a:srgbClr val="000000"/>
          </a:solidFill>
          <a:miter lim="800000"/>
          <a:headEnd/>
          <a:tailEnd/>
        </a:ln>
      </xdr:spPr>
      <xdr:txBody>
        <a:bodyPr vertOverflow="clip" wrap="square" lIns="27432" tIns="22860" rIns="0" bIns="0" anchor="t" upright="1"/>
        <a:lstStyle/>
        <a:p>
          <a:pPr algn="l" rtl="0">
            <a:defRPr sz="1000"/>
          </a:pPr>
          <a:endParaRPr lang="fr-FR" sz="1000" b="0" i="0" u="none" strike="noStrike" baseline="0">
            <a:solidFill>
              <a:srgbClr val="000000"/>
            </a:solidFill>
            <a:latin typeface="Arial"/>
            <a:cs typeface="Arial"/>
          </a:endParaRPr>
        </a:p>
        <a:p>
          <a:pPr algn="l" rtl="0">
            <a:defRPr sz="1000"/>
          </a:pPr>
          <a:endParaRPr lang="fr-FR" sz="1000" b="0" i="0" u="none" strike="noStrike" baseline="0">
            <a:solidFill>
              <a:srgbClr val="000000"/>
            </a:solidFill>
            <a:latin typeface="Arial"/>
            <a:cs typeface="Arial"/>
          </a:endParaRPr>
        </a:p>
        <a:p>
          <a:pPr algn="l" rtl="0">
            <a:defRPr sz="1000"/>
          </a:pPr>
          <a:r>
            <a:rPr lang="fr-FR" sz="1000" b="0" i="0" u="none" strike="noStrike" baseline="0">
              <a:solidFill>
                <a:srgbClr val="000000"/>
              </a:solidFill>
              <a:latin typeface="Arial"/>
              <a:cs typeface="Arial"/>
            </a:rPr>
            <a:t>   </a:t>
          </a:r>
          <a:r>
            <a:rPr lang="fr-FR" sz="1000" b="1" i="0" u="none" strike="noStrike" baseline="0">
              <a:solidFill>
                <a:srgbClr val="000000"/>
              </a:solidFill>
              <a:latin typeface="Arial"/>
              <a:cs typeface="Arial"/>
            </a:rPr>
            <a:t>    </a:t>
          </a:r>
          <a:r>
            <a:rPr lang="fr-FR" sz="1400" b="1" i="0" u="none" strike="noStrike" baseline="0">
              <a:solidFill>
                <a:srgbClr val="000000"/>
              </a:solidFill>
              <a:latin typeface="Arial"/>
              <a:cs typeface="Arial"/>
            </a:rPr>
            <a:t>     </a:t>
          </a:r>
          <a:r>
            <a:rPr lang="fr-FR" sz="1400" b="0" i="0" u="none" strike="noStrike" baseline="0">
              <a:solidFill>
                <a:srgbClr val="000000"/>
              </a:solidFill>
              <a:latin typeface="Arial"/>
              <a:cs typeface="Arial"/>
            </a:rPr>
            <a:t> P</a:t>
          </a:r>
          <a:r>
            <a:rPr lang="fr-FR" sz="1400" b="0" i="0" u="none" strike="noStrike" baseline="-25000">
              <a:solidFill>
                <a:srgbClr val="000000"/>
              </a:solidFill>
              <a:latin typeface="Arial"/>
              <a:cs typeface="Arial"/>
            </a:rPr>
            <a:t>C</a:t>
          </a:r>
          <a:r>
            <a:rPr lang="fr-FR" sz="1400" b="0" i="0" u="none" strike="noStrike" baseline="0">
              <a:solidFill>
                <a:srgbClr val="000000"/>
              </a:solidFill>
              <a:latin typeface="Arial"/>
              <a:cs typeface="Arial"/>
            </a:rPr>
            <a:t>.</a:t>
          </a:r>
          <a:r>
            <a:rPr lang="fr-FR" sz="1400" b="0" i="0" u="none" strike="noStrike" baseline="0">
              <a:solidFill>
                <a:srgbClr val="000000"/>
              </a:solidFill>
              <a:latin typeface="Symbol"/>
            </a:rPr>
            <a:t>t</a:t>
          </a:r>
          <a:r>
            <a:rPr lang="fr-FR" sz="1400" b="0" i="0" u="none" strike="noStrike" baseline="0">
              <a:solidFill>
                <a:srgbClr val="000000"/>
              </a:solidFill>
              <a:latin typeface="Arial"/>
              <a:cs typeface="Arial"/>
            </a:rPr>
            <a:t>.G</a:t>
          </a:r>
          <a:r>
            <a:rPr lang="fr-FR" sz="1400" b="0" i="0" u="none" strike="noStrike" baseline="0">
              <a:solidFill>
                <a:srgbClr val="000000"/>
              </a:solidFill>
              <a:latin typeface="Symbol"/>
            </a:rPr>
            <a:t>.s         1</a:t>
          </a:r>
          <a:endParaRPr lang="fr-FR" sz="1400" b="0" i="0" u="none" strike="noStrike" baseline="0">
            <a:solidFill>
              <a:srgbClr val="000000"/>
            </a:solidFill>
            <a:latin typeface="Arial"/>
            <a:cs typeface="Arial"/>
          </a:endParaRPr>
        </a:p>
        <a:p>
          <a:pPr algn="l" rtl="0">
            <a:defRPr sz="1000"/>
          </a:pPr>
          <a:r>
            <a:rPr lang="fr-FR" sz="1400" b="0" i="0" u="none" strike="noStrike" baseline="0">
              <a:solidFill>
                <a:srgbClr val="000000"/>
              </a:solidFill>
              <a:latin typeface="Arial"/>
              <a:cs typeface="Arial"/>
            </a:rPr>
            <a:t>  D</a:t>
          </a:r>
          <a:r>
            <a:rPr lang="fr-FR" sz="1400" b="0" i="0" u="none" strike="noStrike" baseline="30000">
              <a:solidFill>
                <a:srgbClr val="000000"/>
              </a:solidFill>
              <a:latin typeface="Arial"/>
              <a:cs typeface="Arial"/>
            </a:rPr>
            <a:t>2</a:t>
          </a:r>
          <a:r>
            <a:rPr lang="fr-FR" sz="1400" b="0" i="0" u="none" strike="noStrike" baseline="0">
              <a:solidFill>
                <a:srgbClr val="000000"/>
              </a:solidFill>
              <a:latin typeface="Arial"/>
              <a:cs typeface="Arial"/>
            </a:rPr>
            <a:t> = ---------------  -------------</a:t>
          </a:r>
        </a:p>
        <a:p>
          <a:pPr algn="l" rtl="0">
            <a:defRPr sz="1000"/>
          </a:pPr>
          <a:r>
            <a:rPr lang="fr-FR" sz="1400" b="0" i="0" u="none" strike="noStrike" baseline="0">
              <a:solidFill>
                <a:srgbClr val="000000"/>
              </a:solidFill>
              <a:latin typeface="Arial"/>
              <a:cs typeface="Arial"/>
            </a:rPr>
            <a:t>          </a:t>
          </a:r>
          <a:r>
            <a:rPr lang="fr-FR" sz="1400" b="0" i="0" u="none" strike="noStrike" baseline="0">
              <a:solidFill>
                <a:srgbClr val="000000"/>
              </a:solidFill>
              <a:latin typeface="Symbol"/>
            </a:rPr>
            <a:t>4p</a:t>
          </a:r>
          <a:r>
            <a:rPr lang="fr-FR" sz="1400" b="0" i="0" u="none" strike="noStrike" baseline="0">
              <a:solidFill>
                <a:srgbClr val="000000"/>
              </a:solidFill>
              <a:latin typeface="Arial"/>
              <a:cs typeface="Arial"/>
            </a:rPr>
            <a:t>.(S/B).L'   N</a:t>
          </a:r>
          <a:r>
            <a:rPr lang="fr-FR" sz="1400" b="0" i="0" u="none" strike="noStrike" baseline="0">
              <a:solidFill>
                <a:srgbClr val="000000"/>
              </a:solidFill>
              <a:latin typeface="Symbol"/>
            </a:rPr>
            <a:t>.a</a:t>
          </a:r>
          <a:r>
            <a:rPr lang="fr-FR" sz="1400" b="0" i="0" u="none" strike="noStrike" baseline="0">
              <a:solidFill>
                <a:srgbClr val="000000"/>
              </a:solidFill>
              <a:latin typeface="Arial"/>
              <a:cs typeface="Arial"/>
            </a:rPr>
            <a:t>.b</a:t>
          </a:r>
          <a:r>
            <a:rPr lang="fr-FR" sz="1400" b="0" i="0" u="none" strike="noStrike" baseline="-25000">
              <a:solidFill>
                <a:srgbClr val="000000"/>
              </a:solidFill>
              <a:latin typeface="Arial"/>
              <a:cs typeface="Arial"/>
            </a:rPr>
            <a:t>B</a:t>
          </a:r>
          <a:r>
            <a:rPr lang="fr-FR" sz="1400" b="0" i="0" u="none" strike="noStrike" baseline="0">
              <a:solidFill>
                <a:srgbClr val="000000"/>
              </a:solidFill>
              <a:latin typeface="Arial"/>
              <a:cs typeface="Arial"/>
            </a:rPr>
            <a:t>.G</a:t>
          </a:r>
          <a:r>
            <a:rPr lang="fr-FR" sz="1400" b="0" i="0" u="none" strike="noStrike" baseline="-25000">
              <a:solidFill>
                <a:srgbClr val="000000"/>
              </a:solidFill>
              <a:latin typeface="Arial"/>
              <a:cs typeface="Arial"/>
            </a:rPr>
            <a:t>B</a:t>
          </a:r>
        </a:p>
      </xdr:txBody>
    </xdr:sp>
    <xdr:clientData/>
  </xdr:twoCellAnchor>
  <xdr:twoCellAnchor>
    <xdr:from>
      <xdr:col>6</xdr:col>
      <xdr:colOff>104775</xdr:colOff>
      <xdr:row>1</xdr:row>
      <xdr:rowOff>19050</xdr:rowOff>
    </xdr:from>
    <xdr:to>
      <xdr:col>7</xdr:col>
      <xdr:colOff>809625</xdr:colOff>
      <xdr:row>6</xdr:row>
      <xdr:rowOff>152400</xdr:rowOff>
    </xdr:to>
    <xdr:sp macro="" textlink="">
      <xdr:nvSpPr>
        <xdr:cNvPr id="5" name="Text Box 5"/>
        <xdr:cNvSpPr txBox="1">
          <a:spLocks noChangeArrowheads="1"/>
        </xdr:cNvSpPr>
      </xdr:nvSpPr>
      <xdr:spPr bwMode="auto">
        <a:xfrm>
          <a:off x="6105525" y="209550"/>
          <a:ext cx="1704975" cy="1085850"/>
        </a:xfrm>
        <a:prstGeom prst="rect">
          <a:avLst/>
        </a:prstGeom>
        <a:solidFill>
          <a:srgbClr val="FFFFFF"/>
        </a:solidFill>
        <a:ln w="19050">
          <a:solidFill>
            <a:srgbClr val="000000"/>
          </a:solidFill>
          <a:miter lim="800000"/>
          <a:headEnd/>
          <a:tailEnd/>
        </a:ln>
      </xdr:spPr>
      <xdr:txBody>
        <a:bodyPr vertOverflow="clip" wrap="square" lIns="27432" tIns="22860" rIns="27432" bIns="0" anchor="t" upright="1"/>
        <a:lstStyle/>
        <a:p>
          <a:pPr algn="ctr" rtl="0">
            <a:defRPr sz="1000"/>
          </a:pPr>
          <a:r>
            <a:rPr lang="fr-FR" sz="1000" b="0" i="0" u="none" strike="noStrike" baseline="0">
              <a:solidFill>
                <a:srgbClr val="000000"/>
              </a:solidFill>
              <a:latin typeface="Arial"/>
              <a:cs typeface="Arial"/>
            </a:rPr>
            <a:t>T</a:t>
          </a:r>
          <a:r>
            <a:rPr lang="fr-FR" sz="1200" b="0" i="0" u="none" strike="noStrike" baseline="0">
              <a:solidFill>
                <a:srgbClr val="000000"/>
              </a:solidFill>
              <a:latin typeface="Arial"/>
              <a:cs typeface="Arial"/>
            </a:rPr>
            <a:t>ous les brouilleurs sont suposés identiques et vus par le même niveau de lobes seondaires.</a:t>
          </a:r>
        </a:p>
        <a:p>
          <a:pPr algn="ctr" rtl="0">
            <a:defRPr sz="1000"/>
          </a:pPr>
          <a:r>
            <a:rPr lang="fr-FR" sz="1200" b="0" i="0" u="none" strike="noStrike" baseline="0">
              <a:solidFill>
                <a:srgbClr val="FF0000"/>
              </a:solidFill>
              <a:latin typeface="Arial"/>
              <a:cs typeface="Arial"/>
            </a:rPr>
            <a:t>Pour l'autoprotection on pose :</a:t>
          </a:r>
        </a:p>
        <a:p>
          <a:pPr algn="ctr" rtl="0">
            <a:defRPr sz="1000"/>
          </a:pPr>
          <a:r>
            <a:rPr lang="fr-FR" sz="1200" b="0" i="0" u="none" strike="noStrike" baseline="0">
              <a:solidFill>
                <a:srgbClr val="FF0000"/>
              </a:solidFill>
              <a:latin typeface="Arial"/>
              <a:cs typeface="Arial"/>
            </a:rPr>
            <a:t>N = 1 et </a:t>
          </a:r>
          <a:r>
            <a:rPr lang="fr-FR" sz="1200" b="0" i="0" u="none" strike="noStrike" baseline="0">
              <a:solidFill>
                <a:srgbClr val="FF0000"/>
              </a:solidFill>
              <a:latin typeface="Symbol"/>
            </a:rPr>
            <a:t>a</a:t>
          </a:r>
          <a:r>
            <a:rPr lang="fr-FR" sz="1200" b="0" i="0" u="none" strike="noStrike" baseline="0">
              <a:solidFill>
                <a:srgbClr val="FF0000"/>
              </a:solidFill>
              <a:latin typeface="Arial"/>
              <a:cs typeface="Arial"/>
            </a:rPr>
            <a:t> = -0.8 dB (demi perte par modulation de lobe)</a:t>
          </a:r>
        </a:p>
      </xdr:txBody>
    </xdr:sp>
    <xdr:clientData/>
  </xdr:twoCellAnchor>
  <xdr:twoCellAnchor editAs="oneCell">
    <xdr:from>
      <xdr:col>3</xdr:col>
      <xdr:colOff>352425</xdr:colOff>
      <xdr:row>26</xdr:row>
      <xdr:rowOff>0</xdr:rowOff>
    </xdr:from>
    <xdr:to>
      <xdr:col>3</xdr:col>
      <xdr:colOff>428625</xdr:colOff>
      <xdr:row>27</xdr:row>
      <xdr:rowOff>0</xdr:rowOff>
    </xdr:to>
    <xdr:sp macro="" textlink="">
      <xdr:nvSpPr>
        <xdr:cNvPr id="6" name="Text Box 8"/>
        <xdr:cNvSpPr txBox="1">
          <a:spLocks noChangeArrowheads="1"/>
        </xdr:cNvSpPr>
      </xdr:nvSpPr>
      <xdr:spPr bwMode="auto">
        <a:xfrm>
          <a:off x="3352800" y="4953000"/>
          <a:ext cx="76200" cy="190500"/>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cmajo/Documents/4-ELA%20001/VERSION%202013/3%20-%20TD%20Tableurs/TD7-Port&#233;e%20d'un%20radar%20dans%20le%20brouillage%20v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ans brouillage"/>
      <sheetName val="Résultats"/>
    </sheetNames>
    <sheetDataSet>
      <sheetData sheetId="0">
        <row r="14">
          <cell r="C14">
            <v>0</v>
          </cell>
        </row>
      </sheetData>
      <sheetData sheetId="1"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27:W28"/>
  <sheetViews>
    <sheetView showGridLines="0" showRowColHeaders="0" tabSelected="1" workbookViewId="0">
      <selection activeCell="E37" sqref="E37"/>
    </sheetView>
  </sheetViews>
  <sheetFormatPr baseColWidth="10" defaultRowHeight="12.75"/>
  <cols>
    <col min="1" max="1" width="2.140625" customWidth="1"/>
    <col min="4" max="23" width="5.85546875" customWidth="1"/>
  </cols>
  <sheetData>
    <row r="27" spans="2:23">
      <c r="B27" s="210" t="s">
        <v>60</v>
      </c>
      <c r="C27" s="211"/>
      <c r="D27" s="90">
        <v>-6</v>
      </c>
      <c r="E27" s="90">
        <v>-5</v>
      </c>
      <c r="F27" s="90">
        <v>-4</v>
      </c>
      <c r="G27" s="90">
        <v>-3</v>
      </c>
      <c r="H27" s="90">
        <v>-2</v>
      </c>
      <c r="I27" s="90">
        <v>-1</v>
      </c>
      <c r="J27" s="90">
        <v>0</v>
      </c>
      <c r="K27" s="148">
        <v>1</v>
      </c>
      <c r="L27" s="90">
        <v>2</v>
      </c>
      <c r="M27" s="90">
        <v>3</v>
      </c>
      <c r="N27" s="90">
        <v>4</v>
      </c>
      <c r="O27" s="90">
        <v>5</v>
      </c>
      <c r="P27" s="90">
        <v>6</v>
      </c>
      <c r="Q27" s="90">
        <v>7.5</v>
      </c>
      <c r="R27" s="90">
        <v>10</v>
      </c>
      <c r="S27" s="146">
        <v>15</v>
      </c>
      <c r="T27" s="90">
        <v>20</v>
      </c>
      <c r="U27" s="90">
        <v>25</v>
      </c>
      <c r="V27" s="90">
        <v>30</v>
      </c>
      <c r="W27" s="90">
        <v>45</v>
      </c>
    </row>
    <row r="28" spans="2:23">
      <c r="B28" s="210" t="s">
        <v>61</v>
      </c>
      <c r="C28" s="211"/>
      <c r="D28" s="81">
        <v>-42</v>
      </c>
      <c r="E28" s="81">
        <v>-35</v>
      </c>
      <c r="F28" s="81">
        <v>-28.5</v>
      </c>
      <c r="G28" s="81">
        <v>-22.5</v>
      </c>
      <c r="H28" s="81">
        <v>-16.5</v>
      </c>
      <c r="I28" s="81">
        <v>-10.55</v>
      </c>
      <c r="J28" s="81">
        <v>-6</v>
      </c>
      <c r="K28" s="147">
        <v>-2.6</v>
      </c>
      <c r="L28" s="81">
        <v>-0.8</v>
      </c>
      <c r="M28" s="81">
        <v>0</v>
      </c>
      <c r="N28" s="81">
        <v>-0.1</v>
      </c>
      <c r="O28" s="81">
        <v>-0.5</v>
      </c>
      <c r="P28" s="81">
        <v>-1.2</v>
      </c>
      <c r="Q28" s="81">
        <v>-2.7</v>
      </c>
      <c r="R28" s="81">
        <v>-5</v>
      </c>
      <c r="S28" s="147">
        <v>-7.5</v>
      </c>
      <c r="T28" s="81">
        <v>-8.75</v>
      </c>
      <c r="U28" s="81">
        <v>-9.5</v>
      </c>
      <c r="V28" s="81">
        <v>-10.5</v>
      </c>
      <c r="W28" s="81">
        <v>-13.2</v>
      </c>
    </row>
  </sheetData>
  <mergeCells count="2">
    <mergeCell ref="B27:C27"/>
    <mergeCell ref="B28:C2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H29"/>
  <sheetViews>
    <sheetView showGridLines="0" showRowColHeaders="0" workbookViewId="0">
      <selection activeCell="J12" sqref="J12"/>
    </sheetView>
  </sheetViews>
  <sheetFormatPr baseColWidth="10" defaultColWidth="15" defaultRowHeight="15.75"/>
  <cols>
    <col min="1" max="1" width="21.42578125" style="20" customWidth="1"/>
    <col min="2" max="2" width="15" style="27" customWidth="1"/>
    <col min="3" max="3" width="15" style="21" customWidth="1"/>
    <col min="4" max="4" width="7.28515625" style="21" customWidth="1"/>
    <col min="5" max="5" width="12.140625" style="36" customWidth="1"/>
    <col min="6" max="6" width="9.7109375" style="34" customWidth="1"/>
    <col min="7" max="7" width="15" style="34" customWidth="1"/>
    <col min="8" max="8" width="15" style="23" customWidth="1"/>
    <col min="9" max="16384" width="15" style="20"/>
  </cols>
  <sheetData>
    <row r="1" spans="1:8" ht="9" customHeight="1" thickBot="1"/>
    <row r="2" spans="1:8" s="22" customFormat="1" ht="20.100000000000001" customHeight="1" thickBot="1">
      <c r="A2" s="47" t="s">
        <v>35</v>
      </c>
      <c r="B2" s="28" t="s">
        <v>50</v>
      </c>
      <c r="C2" s="209">
        <v>1</v>
      </c>
      <c r="D2" s="26"/>
      <c r="E2" s="37">
        <f>10*LOG(C2*1000)</f>
        <v>30</v>
      </c>
      <c r="F2" s="35"/>
      <c r="G2" s="35"/>
      <c r="H2" s="24"/>
    </row>
    <row r="3" spans="1:8" ht="16.5" thickBot="1">
      <c r="B3" s="29"/>
    </row>
    <row r="4" spans="1:8" s="22" customFormat="1" ht="20.100000000000001" customHeight="1" thickBot="1">
      <c r="B4" s="30" t="s">
        <v>51</v>
      </c>
      <c r="C4" s="209">
        <v>1</v>
      </c>
      <c r="D4" s="26"/>
      <c r="E4" s="37">
        <f>10*LOG(C4/1000000)</f>
        <v>-60</v>
      </c>
      <c r="F4" s="35"/>
      <c r="G4" s="35"/>
      <c r="H4" s="24"/>
    </row>
    <row r="5" spans="1:8" ht="16.5" thickBot="1">
      <c r="B5" s="29"/>
    </row>
    <row r="6" spans="1:8" s="22" customFormat="1" ht="20.100000000000001" customHeight="1" thickBot="1">
      <c r="B6" s="28" t="s">
        <v>37</v>
      </c>
      <c r="C6" s="72">
        <v>0</v>
      </c>
      <c r="D6" s="26" t="s">
        <v>27</v>
      </c>
      <c r="E6" s="37">
        <f>2*C6</f>
        <v>0</v>
      </c>
      <c r="F6" s="35"/>
      <c r="G6" s="35"/>
      <c r="H6" s="24"/>
    </row>
    <row r="7" spans="1:8" ht="16.5" thickBot="1">
      <c r="B7" s="29"/>
    </row>
    <row r="8" spans="1:8" s="22" customFormat="1" ht="20.100000000000001" customHeight="1" thickBot="1">
      <c r="B8" s="30" t="s">
        <v>28</v>
      </c>
      <c r="C8" s="72">
        <v>1</v>
      </c>
      <c r="D8" s="25" t="s">
        <v>26</v>
      </c>
      <c r="E8" s="37">
        <f>20*LOG(C8)</f>
        <v>0</v>
      </c>
      <c r="F8" s="35"/>
      <c r="G8" s="35"/>
      <c r="H8" s="24"/>
    </row>
    <row r="9" spans="1:8" ht="16.5" thickBot="1">
      <c r="B9" s="29"/>
    </row>
    <row r="10" spans="1:8" s="22" customFormat="1" ht="20.100000000000001" customHeight="1" thickBot="1">
      <c r="B10" s="30" t="s">
        <v>29</v>
      </c>
      <c r="C10" s="72">
        <v>1</v>
      </c>
      <c r="D10" s="26"/>
      <c r="E10" s="37">
        <f>10*LOG(C10)</f>
        <v>0</v>
      </c>
      <c r="F10" s="35"/>
    </row>
    <row r="11" spans="1:8" ht="16.5" thickBot="1"/>
    <row r="12" spans="1:8" s="22" customFormat="1" ht="20.100000000000001" customHeight="1" thickBot="1">
      <c r="B12" s="31" t="s">
        <v>30</v>
      </c>
      <c r="C12" s="46">
        <v>33</v>
      </c>
      <c r="D12" s="26"/>
      <c r="E12" s="37">
        <f>-C12</f>
        <v>-33</v>
      </c>
      <c r="F12" s="35"/>
    </row>
    <row r="13" spans="1:8" ht="16.5" thickBot="1">
      <c r="B13" s="32"/>
    </row>
    <row r="14" spans="1:8" s="22" customFormat="1" ht="20.100000000000001" customHeight="1" thickBot="1">
      <c r="A14" s="48" t="s">
        <v>36</v>
      </c>
      <c r="B14" s="33" t="s">
        <v>23</v>
      </c>
      <c r="C14" s="72">
        <v>0</v>
      </c>
      <c r="D14" s="26"/>
      <c r="E14" s="37">
        <f>-C14</f>
        <v>0</v>
      </c>
      <c r="F14" s="35"/>
      <c r="G14" s="35"/>
      <c r="H14" s="24"/>
    </row>
    <row r="15" spans="1:8" ht="16.5" thickBot="1">
      <c r="B15" s="32"/>
    </row>
    <row r="16" spans="1:8" s="22" customFormat="1" ht="20.100000000000001" customHeight="1" thickBot="1">
      <c r="B16" s="33" t="s">
        <v>24</v>
      </c>
      <c r="C16" s="72">
        <v>0</v>
      </c>
      <c r="D16" s="26"/>
      <c r="E16" s="37">
        <f>-C16</f>
        <v>0</v>
      </c>
      <c r="F16" s="35"/>
      <c r="G16" s="35"/>
      <c r="H16" s="24"/>
    </row>
    <row r="17" spans="1:8" ht="16.5" thickBot="1">
      <c r="B17" s="32"/>
    </row>
    <row r="18" spans="1:8" s="22" customFormat="1" ht="20.100000000000001" customHeight="1" thickBot="1">
      <c r="B18" s="33" t="s">
        <v>31</v>
      </c>
      <c r="C18" s="45">
        <v>-203.8</v>
      </c>
      <c r="D18" s="26"/>
      <c r="E18" s="37">
        <f>-C18</f>
        <v>203.8</v>
      </c>
      <c r="F18" s="35"/>
      <c r="G18" s="35"/>
      <c r="H18" s="24"/>
    </row>
    <row r="19" spans="1:8" ht="16.5" thickBot="1">
      <c r="B19" s="32"/>
    </row>
    <row r="20" spans="1:8" s="22" customFormat="1" ht="20.100000000000001" customHeight="1" thickBot="1">
      <c r="B20" s="33" t="s">
        <v>25</v>
      </c>
      <c r="C20" s="72">
        <v>0</v>
      </c>
      <c r="D20" s="26"/>
      <c r="E20" s="37">
        <f>-C20</f>
        <v>0</v>
      </c>
      <c r="F20" s="35"/>
      <c r="G20" s="40" t="s">
        <v>33</v>
      </c>
      <c r="H20" s="41">
        <f>$E$22/4</f>
        <v>0</v>
      </c>
    </row>
    <row r="21" spans="1:8" ht="16.5" thickBot="1">
      <c r="A21" s="75" t="s">
        <v>55</v>
      </c>
    </row>
    <row r="22" spans="1:8" ht="19.5" thickBot="1">
      <c r="A22" s="75" t="s">
        <v>56</v>
      </c>
      <c r="B22" s="44" t="s">
        <v>56</v>
      </c>
      <c r="C22" s="39" t="s">
        <v>32</v>
      </c>
      <c r="E22" s="38">
        <f>IF(B22="Oui",SUM(E2:E21),0)</f>
        <v>0</v>
      </c>
      <c r="F22" s="36"/>
      <c r="G22" s="40" t="s">
        <v>34</v>
      </c>
      <c r="H22" s="42">
        <f>POWER(10,H20/10)/1000</f>
        <v>1E-3</v>
      </c>
    </row>
    <row r="23" spans="1:8">
      <c r="B23"/>
    </row>
    <row r="25" spans="1:8">
      <c r="A25"/>
    </row>
    <row r="29" spans="1:8">
      <c r="D29" s="60"/>
    </row>
  </sheetData>
  <sheetProtection password="8EBD" sheet="1" objects="1" scenarios="1"/>
  <phoneticPr fontId="0" type="noConversion"/>
  <dataValidations count="1">
    <dataValidation type="list" allowBlank="1" showInputMessage="1" showErrorMessage="1" sqref="B22">
      <formula1>$A$21:$A$22</formula1>
    </dataValidation>
  </dataValidations>
  <printOptions horizontalCentered="1" verticalCentered="1"/>
  <pageMargins left="0.78740157480314965" right="0.78740157480314965" top="0.98425196850393704" bottom="0.63" header="0.51181102362204722" footer="0.51181102362204722"/>
  <pageSetup paperSize="9" scale="110" orientation="landscape" horizontalDpi="4294967294" verticalDpi="0" r:id="rId1"/>
  <headerFooter alignWithMargins="0">
    <oddHeader>&amp;L&amp;F&amp;C&amp;A&amp;R&amp;D</oddHeader>
  </headerFooter>
  <drawing r:id="rId2"/>
</worksheet>
</file>

<file path=xl/worksheets/sheet3.xml><?xml version="1.0" encoding="utf-8"?>
<worksheet xmlns="http://schemas.openxmlformats.org/spreadsheetml/2006/main" xmlns:r="http://schemas.openxmlformats.org/officeDocument/2006/relationships">
  <dimension ref="A1:DT62"/>
  <sheetViews>
    <sheetView showGridLines="0" showRowColHeaders="0" topLeftCell="A4" workbookViewId="0">
      <selection activeCell="A49" sqref="A49:V50"/>
    </sheetView>
  </sheetViews>
  <sheetFormatPr baseColWidth="10" defaultRowHeight="12.75"/>
  <cols>
    <col min="1" max="1" width="19" style="50" customWidth="1"/>
    <col min="2" max="2" width="5.5703125" style="82" customWidth="1"/>
    <col min="3" max="9" width="5.5703125" style="83" customWidth="1"/>
    <col min="10" max="10" width="5.5703125" style="135" customWidth="1"/>
    <col min="11" max="17" width="5.5703125" style="83" customWidth="1"/>
    <col min="18" max="18" width="5.5703125" style="144" customWidth="1"/>
    <col min="19" max="21" width="5.5703125" style="83" customWidth="1"/>
    <col min="22" max="25" width="5.5703125" style="50" customWidth="1"/>
    <col min="26" max="26" width="5.5703125" style="138" customWidth="1"/>
    <col min="27" max="33" width="5.5703125" style="50" customWidth="1"/>
    <col min="34" max="34" width="5.5703125" style="141" customWidth="1"/>
    <col min="35" max="41" width="5.5703125" style="50" customWidth="1"/>
    <col min="42" max="42" width="5.5703125" style="138" customWidth="1"/>
    <col min="43" max="49" width="5.5703125" style="50" customWidth="1"/>
    <col min="50" max="50" width="5.5703125" style="141" customWidth="1"/>
    <col min="51" max="57" width="5.5703125" style="50" customWidth="1"/>
    <col min="58" max="58" width="5.5703125" style="138" customWidth="1"/>
    <col min="59" max="65" width="5.5703125" style="50" customWidth="1"/>
    <col min="66" max="66" width="5.5703125" style="141" customWidth="1"/>
    <col min="67" max="73" width="5.5703125" style="50" customWidth="1"/>
    <col min="74" max="74" width="5.5703125" style="138" customWidth="1"/>
    <col min="75" max="81" width="5.5703125" style="50" customWidth="1"/>
    <col min="82" max="82" width="5.5703125" style="141" customWidth="1"/>
    <col min="83" max="89" width="5.5703125" style="50" customWidth="1"/>
    <col min="90" max="90" width="5.5703125" style="138" customWidth="1"/>
    <col min="91" max="97" width="5.5703125" style="50" customWidth="1"/>
    <col min="98" max="98" width="5.5703125" style="141" customWidth="1"/>
    <col min="99" max="105" width="5.5703125" style="50" customWidth="1"/>
    <col min="106" max="106" width="5.5703125" style="138" customWidth="1"/>
    <col min="107" max="107" width="5.85546875" style="50" customWidth="1"/>
    <col min="108" max="117" width="5.5703125" style="50" customWidth="1"/>
    <col min="118" max="118" width="5.5703125" style="141" customWidth="1"/>
    <col min="119" max="124" width="5.5703125" style="50" customWidth="1"/>
    <col min="125" max="16384" width="11.42578125" style="50"/>
  </cols>
  <sheetData>
    <row r="1" spans="1:124" s="161" customFormat="1" ht="2.1" customHeight="1">
      <c r="J1" s="157"/>
      <c r="K1" s="166"/>
      <c r="L1" s="166"/>
      <c r="M1" s="166"/>
      <c r="N1" s="166"/>
      <c r="O1" s="166"/>
      <c r="P1" s="166"/>
      <c r="Q1" s="166"/>
      <c r="R1" s="166"/>
      <c r="S1" s="166"/>
      <c r="T1" s="166"/>
      <c r="U1" s="166"/>
      <c r="V1" s="166"/>
      <c r="W1" s="166"/>
      <c r="X1" s="166"/>
      <c r="Y1" s="166"/>
      <c r="Z1" s="166"/>
      <c r="AA1" s="166"/>
      <c r="AB1" s="166"/>
      <c r="AC1" s="166"/>
    </row>
    <row r="2" spans="1:124" s="111" customFormat="1" ht="2.1" customHeight="1">
      <c r="A2" s="111" t="s">
        <v>11</v>
      </c>
      <c r="B2" s="132">
        <f t="shared" ref="B2:H2" si="0">C2-0.125</f>
        <v>-7</v>
      </c>
      <c r="C2" s="111">
        <f t="shared" si="0"/>
        <v>-6.875</v>
      </c>
      <c r="D2" s="111">
        <f t="shared" si="0"/>
        <v>-6.75</v>
      </c>
      <c r="E2" s="111">
        <f t="shared" si="0"/>
        <v>-6.625</v>
      </c>
      <c r="F2" s="111">
        <f t="shared" si="0"/>
        <v>-6.5</v>
      </c>
      <c r="G2" s="111">
        <f t="shared" si="0"/>
        <v>-6.375</v>
      </c>
      <c r="H2" s="111">
        <f t="shared" si="0"/>
        <v>-6.25</v>
      </c>
      <c r="I2" s="111">
        <f>J2-0.125</f>
        <v>-6.125</v>
      </c>
      <c r="J2" s="132">
        <v>-6</v>
      </c>
      <c r="K2" s="111">
        <v>-5.875</v>
      </c>
      <c r="L2" s="111">
        <v>-5.75</v>
      </c>
      <c r="M2" s="111">
        <v>-5.625</v>
      </c>
      <c r="N2" s="111">
        <v>-5.5</v>
      </c>
      <c r="O2" s="111">
        <v>-5.375</v>
      </c>
      <c r="P2" s="111">
        <v>-5.25</v>
      </c>
      <c r="Q2" s="111">
        <v>-5.125</v>
      </c>
      <c r="R2" s="132">
        <v>-5</v>
      </c>
      <c r="S2" s="111">
        <v>-4.875</v>
      </c>
      <c r="T2" s="111">
        <v>-4.75</v>
      </c>
      <c r="U2" s="111">
        <v>-4.625</v>
      </c>
      <c r="V2" s="111">
        <v>-4.5</v>
      </c>
      <c r="W2" s="111">
        <v>-4.375</v>
      </c>
      <c r="X2" s="111">
        <v>-4.25</v>
      </c>
      <c r="Y2" s="111">
        <v>-4.125</v>
      </c>
      <c r="Z2" s="132">
        <v>-4</v>
      </c>
      <c r="AA2" s="111">
        <v>-3.875</v>
      </c>
      <c r="AB2" s="111">
        <v>-3.75</v>
      </c>
      <c r="AC2" s="111">
        <v>-3.625</v>
      </c>
      <c r="AD2" s="111">
        <v>-3.5</v>
      </c>
      <c r="AE2" s="111">
        <v>-3.375</v>
      </c>
      <c r="AF2" s="111">
        <v>-3.25</v>
      </c>
      <c r="AG2" s="111">
        <v>-3.125</v>
      </c>
      <c r="AH2" s="132">
        <v>-3</v>
      </c>
      <c r="AI2" s="111">
        <v>-2.875</v>
      </c>
      <c r="AJ2" s="111">
        <v>-2.75</v>
      </c>
      <c r="AK2" s="111">
        <v>-2.625</v>
      </c>
      <c r="AL2" s="111">
        <v>-2.5</v>
      </c>
      <c r="AM2" s="111">
        <v>-2.375</v>
      </c>
      <c r="AN2" s="111">
        <v>-2.25</v>
      </c>
      <c r="AO2" s="111">
        <v>-2.125</v>
      </c>
      <c r="AP2" s="132">
        <v>-2</v>
      </c>
      <c r="AQ2" s="111">
        <v>-1.875</v>
      </c>
      <c r="AR2" s="111">
        <v>-1.75</v>
      </c>
      <c r="AS2" s="111">
        <v>-1.625</v>
      </c>
      <c r="AT2" s="111">
        <v>-1.5</v>
      </c>
      <c r="AU2" s="111">
        <v>-1.375</v>
      </c>
      <c r="AV2" s="111">
        <v>-1.25</v>
      </c>
      <c r="AW2" s="111">
        <v>-1.125</v>
      </c>
      <c r="AX2" s="132">
        <v>-1</v>
      </c>
      <c r="AY2" s="111">
        <v>-0.875</v>
      </c>
      <c r="AZ2" s="111">
        <v>-0.75</v>
      </c>
      <c r="BA2" s="111">
        <v>-0.625</v>
      </c>
      <c r="BB2" s="111">
        <v>-0.5</v>
      </c>
      <c r="BC2" s="111">
        <v>-0.375</v>
      </c>
      <c r="BD2" s="111">
        <v>-0.25</v>
      </c>
      <c r="BE2" s="111">
        <v>-0.125</v>
      </c>
      <c r="BF2" s="132">
        <v>0</v>
      </c>
      <c r="BG2" s="111">
        <v>0.125</v>
      </c>
      <c r="BH2" s="111">
        <v>0.25</v>
      </c>
      <c r="BI2" s="111">
        <v>0.375</v>
      </c>
      <c r="BJ2" s="111">
        <v>0.5</v>
      </c>
      <c r="BK2" s="111">
        <v>0.625</v>
      </c>
      <c r="BL2" s="111">
        <v>0.75</v>
      </c>
      <c r="BM2" s="111">
        <v>0.875</v>
      </c>
      <c r="BN2" s="132">
        <v>1</v>
      </c>
      <c r="BO2" s="111">
        <v>1.125</v>
      </c>
      <c r="BP2" s="111">
        <v>1.25</v>
      </c>
      <c r="BQ2" s="111">
        <v>1.375</v>
      </c>
      <c r="BR2" s="111">
        <v>1.5</v>
      </c>
      <c r="BS2" s="111">
        <v>1.625</v>
      </c>
      <c r="BT2" s="111">
        <v>1.75</v>
      </c>
      <c r="BU2" s="111">
        <v>1.875</v>
      </c>
      <c r="BV2" s="132">
        <v>2</v>
      </c>
      <c r="BW2" s="111">
        <v>2.125</v>
      </c>
      <c r="BX2" s="111">
        <v>2.25</v>
      </c>
      <c r="BY2" s="111">
        <v>2.375</v>
      </c>
      <c r="BZ2" s="111">
        <v>2.5</v>
      </c>
      <c r="CA2" s="111">
        <v>2.625</v>
      </c>
      <c r="CB2" s="111">
        <v>2.75</v>
      </c>
      <c r="CC2" s="111">
        <v>2.875</v>
      </c>
      <c r="CD2" s="132">
        <v>3</v>
      </c>
      <c r="CE2" s="111">
        <v>3.125</v>
      </c>
      <c r="CF2" s="111">
        <v>3.25</v>
      </c>
      <c r="CG2" s="111">
        <v>3.375</v>
      </c>
      <c r="CH2" s="111">
        <v>3.5</v>
      </c>
      <c r="CI2" s="111">
        <v>3.625</v>
      </c>
      <c r="CJ2" s="111">
        <v>3.75</v>
      </c>
      <c r="CK2" s="111">
        <v>3.875</v>
      </c>
      <c r="CL2" s="132">
        <v>4</v>
      </c>
      <c r="CM2" s="111">
        <v>4.125</v>
      </c>
      <c r="CN2" s="111">
        <v>4.25</v>
      </c>
      <c r="CO2" s="111">
        <v>4.375</v>
      </c>
      <c r="CP2" s="111">
        <v>4.5</v>
      </c>
      <c r="CQ2" s="111">
        <v>4.625</v>
      </c>
      <c r="CR2" s="111">
        <v>4.75</v>
      </c>
      <c r="CS2" s="111">
        <v>4.875</v>
      </c>
      <c r="CT2" s="132">
        <v>5</v>
      </c>
      <c r="CU2" s="111">
        <v>5.125</v>
      </c>
      <c r="CV2" s="111">
        <v>5.25</v>
      </c>
      <c r="CW2" s="111">
        <v>5.375</v>
      </c>
      <c r="CX2" s="111">
        <v>5.5</v>
      </c>
      <c r="CY2" s="111">
        <v>5.625</v>
      </c>
      <c r="CZ2" s="111">
        <v>5.75</v>
      </c>
      <c r="DA2" s="111">
        <v>5.875</v>
      </c>
      <c r="DB2" s="132">
        <v>6</v>
      </c>
      <c r="DC2" s="111">
        <f>DB2+0.125</f>
        <v>6.125</v>
      </c>
      <c r="DD2" s="111">
        <f t="shared" ref="DD2:DM2" si="1">DC2+0.125</f>
        <v>6.25</v>
      </c>
      <c r="DE2" s="111">
        <f t="shared" si="1"/>
        <v>6.375</v>
      </c>
      <c r="DF2" s="111">
        <f t="shared" si="1"/>
        <v>6.5</v>
      </c>
      <c r="DG2" s="111">
        <f t="shared" si="1"/>
        <v>6.625</v>
      </c>
      <c r="DH2" s="111">
        <f t="shared" si="1"/>
        <v>6.75</v>
      </c>
      <c r="DI2" s="111">
        <f t="shared" si="1"/>
        <v>6.875</v>
      </c>
      <c r="DJ2" s="111">
        <f t="shared" si="1"/>
        <v>7</v>
      </c>
      <c r="DK2" s="111">
        <f t="shared" si="1"/>
        <v>7.125</v>
      </c>
      <c r="DL2" s="111">
        <f t="shared" si="1"/>
        <v>7.25</v>
      </c>
      <c r="DM2" s="111">
        <f t="shared" si="1"/>
        <v>7.375</v>
      </c>
      <c r="DN2" s="132">
        <v>7.5</v>
      </c>
      <c r="DO2" s="111">
        <v>10</v>
      </c>
      <c r="DP2" s="111">
        <v>15</v>
      </c>
      <c r="DQ2" s="111">
        <v>20</v>
      </c>
      <c r="DR2" s="111">
        <v>25</v>
      </c>
      <c r="DS2" s="111">
        <v>30</v>
      </c>
      <c r="DT2" s="111">
        <v>45</v>
      </c>
    </row>
    <row r="3" spans="1:124" s="111" customFormat="1" ht="2.1" customHeight="1">
      <c r="A3" s="111" t="s">
        <v>58</v>
      </c>
      <c r="B3" s="132">
        <f t="shared" ref="B3:I3" si="2">B2*3.14159/180</f>
        <v>-0.12217294444444443</v>
      </c>
      <c r="C3" s="111">
        <f t="shared" si="2"/>
        <v>-0.11999128472222223</v>
      </c>
      <c r="D3" s="111">
        <f t="shared" si="2"/>
        <v>-0.117809625</v>
      </c>
      <c r="E3" s="111">
        <f t="shared" si="2"/>
        <v>-0.11562796527777777</v>
      </c>
      <c r="F3" s="111">
        <f t="shared" si="2"/>
        <v>-0.11344630555555554</v>
      </c>
      <c r="G3" s="111">
        <f t="shared" si="2"/>
        <v>-0.11126464583333334</v>
      </c>
      <c r="H3" s="111">
        <f t="shared" si="2"/>
        <v>-0.10908298611111111</v>
      </c>
      <c r="I3" s="111">
        <f t="shared" si="2"/>
        <v>-0.10690132638888888</v>
      </c>
      <c r="J3" s="132">
        <f>J2*3.14159/180</f>
        <v>-0.10471966666666666</v>
      </c>
      <c r="K3" s="111">
        <f t="shared" ref="K3:BD3" si="3">K2*3.14159/180</f>
        <v>-0.10253800694444444</v>
      </c>
      <c r="L3" s="111">
        <f t="shared" si="3"/>
        <v>-0.10035634722222221</v>
      </c>
      <c r="M3" s="111">
        <f t="shared" si="3"/>
        <v>-9.8174687499999996E-2</v>
      </c>
      <c r="N3" s="111">
        <f t="shared" si="3"/>
        <v>-9.5993027777777781E-2</v>
      </c>
      <c r="O3" s="111">
        <f t="shared" si="3"/>
        <v>-9.3811368055555552E-2</v>
      </c>
      <c r="P3" s="111">
        <f t="shared" si="3"/>
        <v>-9.1629708333333323E-2</v>
      </c>
      <c r="Q3" s="111">
        <f t="shared" si="3"/>
        <v>-8.9448048611111095E-2</v>
      </c>
      <c r="R3" s="132">
        <f t="shared" si="3"/>
        <v>-8.7266388888888893E-2</v>
      </c>
      <c r="S3" s="111">
        <f t="shared" si="3"/>
        <v>-8.5084729166666664E-2</v>
      </c>
      <c r="T3" s="111">
        <f t="shared" si="3"/>
        <v>-8.2903069444444449E-2</v>
      </c>
      <c r="U3" s="111">
        <f t="shared" si="3"/>
        <v>-8.072140972222222E-2</v>
      </c>
      <c r="V3" s="111">
        <f t="shared" si="3"/>
        <v>-7.8539750000000005E-2</v>
      </c>
      <c r="W3" s="111">
        <f t="shared" si="3"/>
        <v>-7.6358090277777776E-2</v>
      </c>
      <c r="X3" s="111">
        <f t="shared" si="3"/>
        <v>-7.4176430555555548E-2</v>
      </c>
      <c r="Y3" s="111">
        <f t="shared" si="3"/>
        <v>-7.1994770833333332E-2</v>
      </c>
      <c r="Z3" s="132">
        <f t="shared" si="3"/>
        <v>-6.9813111111111104E-2</v>
      </c>
      <c r="AA3" s="111">
        <f t="shared" si="3"/>
        <v>-6.7631451388888889E-2</v>
      </c>
      <c r="AB3" s="111">
        <f t="shared" si="3"/>
        <v>-6.544979166666666E-2</v>
      </c>
      <c r="AC3" s="111">
        <f t="shared" si="3"/>
        <v>-6.3268131944444445E-2</v>
      </c>
      <c r="AD3" s="111">
        <f t="shared" si="3"/>
        <v>-6.1086472222222216E-2</v>
      </c>
      <c r="AE3" s="111">
        <f t="shared" si="3"/>
        <v>-5.8904812500000001E-2</v>
      </c>
      <c r="AF3" s="111">
        <f t="shared" si="3"/>
        <v>-5.6723152777777772E-2</v>
      </c>
      <c r="AG3" s="111">
        <f t="shared" si="3"/>
        <v>-5.4541493055555557E-2</v>
      </c>
      <c r="AH3" s="132">
        <f t="shared" si="3"/>
        <v>-5.2359833333333328E-2</v>
      </c>
      <c r="AI3" s="111">
        <f t="shared" si="3"/>
        <v>-5.0178173611111106E-2</v>
      </c>
      <c r="AJ3" s="111">
        <f t="shared" si="3"/>
        <v>-4.7996513888888891E-2</v>
      </c>
      <c r="AK3" s="111">
        <f t="shared" si="3"/>
        <v>-4.5814854166666662E-2</v>
      </c>
      <c r="AL3" s="111">
        <f t="shared" si="3"/>
        <v>-4.3633194444444447E-2</v>
      </c>
      <c r="AM3" s="111">
        <f t="shared" si="3"/>
        <v>-4.1451534722222225E-2</v>
      </c>
      <c r="AN3" s="111">
        <f t="shared" si="3"/>
        <v>-3.9269875000000003E-2</v>
      </c>
      <c r="AO3" s="111">
        <f t="shared" si="3"/>
        <v>-3.7088215277777774E-2</v>
      </c>
      <c r="AP3" s="132">
        <f t="shared" si="3"/>
        <v>-3.4906555555555552E-2</v>
      </c>
      <c r="AQ3" s="111">
        <f t="shared" si="3"/>
        <v>-3.272489583333333E-2</v>
      </c>
      <c r="AR3" s="111">
        <f t="shared" si="3"/>
        <v>-3.0543236111111108E-2</v>
      </c>
      <c r="AS3" s="111">
        <f t="shared" si="3"/>
        <v>-2.8361576388888886E-2</v>
      </c>
      <c r="AT3" s="111">
        <f t="shared" si="3"/>
        <v>-2.6179916666666664E-2</v>
      </c>
      <c r="AU3" s="111">
        <f t="shared" si="3"/>
        <v>-2.3998256944444445E-2</v>
      </c>
      <c r="AV3" s="111">
        <f t="shared" si="3"/>
        <v>-2.1816597222222223E-2</v>
      </c>
      <c r="AW3" s="111">
        <f t="shared" si="3"/>
        <v>-1.9634937500000001E-2</v>
      </c>
      <c r="AX3" s="132">
        <f t="shared" si="3"/>
        <v>-1.7453277777777776E-2</v>
      </c>
      <c r="AY3" s="111">
        <f t="shared" si="3"/>
        <v>-1.5271618055555554E-2</v>
      </c>
      <c r="AZ3" s="111">
        <f t="shared" si="3"/>
        <v>-1.3089958333333332E-2</v>
      </c>
      <c r="BA3" s="111">
        <f t="shared" si="3"/>
        <v>-1.0908298611111112E-2</v>
      </c>
      <c r="BB3" s="111">
        <f t="shared" si="3"/>
        <v>-8.7266388888888879E-3</v>
      </c>
      <c r="BC3" s="111">
        <f t="shared" si="3"/>
        <v>-6.544979166666666E-3</v>
      </c>
      <c r="BD3" s="111">
        <f t="shared" si="3"/>
        <v>-4.363319444444444E-3</v>
      </c>
      <c r="BE3" s="111">
        <f>BE2*3.1415926/180</f>
        <v>-2.1816615277777777E-3</v>
      </c>
      <c r="BF3" s="132">
        <f t="shared" ref="BF3:DT3" si="4">BF2*3.1415926/180</f>
        <v>0</v>
      </c>
      <c r="BG3" s="111">
        <f t="shared" si="4"/>
        <v>2.1816615277777777E-3</v>
      </c>
      <c r="BH3" s="111">
        <f t="shared" si="4"/>
        <v>4.3633230555555555E-3</v>
      </c>
      <c r="BI3" s="111">
        <f t="shared" si="4"/>
        <v>6.5449845833333341E-3</v>
      </c>
      <c r="BJ3" s="111">
        <f t="shared" si="4"/>
        <v>8.726646111111111E-3</v>
      </c>
      <c r="BK3" s="111">
        <f t="shared" si="4"/>
        <v>1.0908307638888889E-2</v>
      </c>
      <c r="BL3" s="111">
        <f t="shared" si="4"/>
        <v>1.3089969166666668E-2</v>
      </c>
      <c r="BM3" s="111">
        <f t="shared" si="4"/>
        <v>1.5271630694444446E-2</v>
      </c>
      <c r="BN3" s="132">
        <f t="shared" si="4"/>
        <v>1.7453292222222222E-2</v>
      </c>
      <c r="BO3" s="111">
        <f t="shared" si="4"/>
        <v>1.963495375E-2</v>
      </c>
      <c r="BP3" s="111">
        <f t="shared" si="4"/>
        <v>2.1816615277777777E-2</v>
      </c>
      <c r="BQ3" s="111">
        <f t="shared" si="4"/>
        <v>2.3998276805555555E-2</v>
      </c>
      <c r="BR3" s="111">
        <f t="shared" si="4"/>
        <v>2.6179938333333336E-2</v>
      </c>
      <c r="BS3" s="111">
        <f t="shared" si="4"/>
        <v>2.8361599861111111E-2</v>
      </c>
      <c r="BT3" s="111">
        <f t="shared" si="4"/>
        <v>3.0543261388888892E-2</v>
      </c>
      <c r="BU3" s="111">
        <f t="shared" si="4"/>
        <v>3.2724922916666663E-2</v>
      </c>
      <c r="BV3" s="132">
        <f t="shared" si="4"/>
        <v>3.4906584444444444E-2</v>
      </c>
      <c r="BW3" s="111">
        <f t="shared" si="4"/>
        <v>3.7088245972222225E-2</v>
      </c>
      <c r="BX3" s="111">
        <f t="shared" si="4"/>
        <v>3.9269907499999999E-2</v>
      </c>
      <c r="BY3" s="111">
        <f t="shared" si="4"/>
        <v>4.1451569027777781E-2</v>
      </c>
      <c r="BZ3" s="111">
        <f t="shared" si="4"/>
        <v>4.3633230555555555E-2</v>
      </c>
      <c r="CA3" s="111">
        <f t="shared" si="4"/>
        <v>4.5814892083333336E-2</v>
      </c>
      <c r="CB3" s="111">
        <f t="shared" si="4"/>
        <v>4.799655361111111E-2</v>
      </c>
      <c r="CC3" s="111">
        <f t="shared" si="4"/>
        <v>5.0178215138888885E-2</v>
      </c>
      <c r="CD3" s="132">
        <f t="shared" si="4"/>
        <v>5.2359876666666673E-2</v>
      </c>
      <c r="CE3" s="111">
        <f t="shared" si="4"/>
        <v>5.4541538194444447E-2</v>
      </c>
      <c r="CF3" s="111">
        <f t="shared" si="4"/>
        <v>5.6723199722222221E-2</v>
      </c>
      <c r="CG3" s="111">
        <f t="shared" si="4"/>
        <v>5.8904861249999996E-2</v>
      </c>
      <c r="CH3" s="111">
        <f t="shared" si="4"/>
        <v>6.1086522777777784E-2</v>
      </c>
      <c r="CI3" s="111">
        <f t="shared" si="4"/>
        <v>6.3268184305555558E-2</v>
      </c>
      <c r="CJ3" s="111">
        <f t="shared" si="4"/>
        <v>6.5449845833333326E-2</v>
      </c>
      <c r="CK3" s="111">
        <f t="shared" si="4"/>
        <v>6.7631507361111121E-2</v>
      </c>
      <c r="CL3" s="132">
        <f t="shared" si="4"/>
        <v>6.9813168888888888E-2</v>
      </c>
      <c r="CM3" s="111">
        <f t="shared" si="4"/>
        <v>7.1994830416666669E-2</v>
      </c>
      <c r="CN3" s="111">
        <f t="shared" si="4"/>
        <v>7.417649194444445E-2</v>
      </c>
      <c r="CO3" s="111">
        <f t="shared" si="4"/>
        <v>7.6358153472222218E-2</v>
      </c>
      <c r="CP3" s="111">
        <f t="shared" si="4"/>
        <v>7.8539814999999999E-2</v>
      </c>
      <c r="CQ3" s="111">
        <f t="shared" si="4"/>
        <v>8.072147652777778E-2</v>
      </c>
      <c r="CR3" s="111">
        <f t="shared" si="4"/>
        <v>8.2903138055555561E-2</v>
      </c>
      <c r="CS3" s="111">
        <f t="shared" si="4"/>
        <v>8.5084799583333329E-2</v>
      </c>
      <c r="CT3" s="132">
        <f t="shared" si="4"/>
        <v>8.726646111111111E-2</v>
      </c>
      <c r="CU3" s="111">
        <f t="shared" si="4"/>
        <v>8.9448122638888877E-2</v>
      </c>
      <c r="CV3" s="111">
        <f t="shared" si="4"/>
        <v>9.1629784166666672E-2</v>
      </c>
      <c r="CW3" s="111">
        <f t="shared" si="4"/>
        <v>9.3811445694444454E-2</v>
      </c>
      <c r="CX3" s="111">
        <f t="shared" si="4"/>
        <v>9.5993107222222221E-2</v>
      </c>
      <c r="CY3" s="111">
        <f t="shared" si="4"/>
        <v>9.8174768750000002E-2</v>
      </c>
      <c r="CZ3" s="111">
        <f t="shared" si="4"/>
        <v>0.10035643027777777</v>
      </c>
      <c r="DA3" s="111">
        <f t="shared" si="4"/>
        <v>0.10253809180555555</v>
      </c>
      <c r="DB3" s="132">
        <f t="shared" si="4"/>
        <v>0.10471975333333335</v>
      </c>
      <c r="DC3" s="111">
        <f t="shared" si="4"/>
        <v>0.10690141486111113</v>
      </c>
      <c r="DD3" s="111">
        <f t="shared" si="4"/>
        <v>0.10908307638888889</v>
      </c>
      <c r="DE3" s="111">
        <f t="shared" si="4"/>
        <v>0.11126473791666668</v>
      </c>
      <c r="DF3" s="111">
        <f t="shared" si="4"/>
        <v>0.11344639944444444</v>
      </c>
      <c r="DG3" s="111">
        <f t="shared" si="4"/>
        <v>0.11562806097222222</v>
      </c>
      <c r="DH3" s="111">
        <f t="shared" si="4"/>
        <v>0.11780972249999999</v>
      </c>
      <c r="DI3" s="111">
        <f t="shared" si="4"/>
        <v>0.11999138402777779</v>
      </c>
      <c r="DJ3" s="111">
        <f t="shared" si="4"/>
        <v>0.12217304555555557</v>
      </c>
      <c r="DK3" s="111">
        <f t="shared" si="4"/>
        <v>0.12435470708333334</v>
      </c>
      <c r="DL3" s="111">
        <f t="shared" si="4"/>
        <v>0.12653636861111112</v>
      </c>
      <c r="DM3" s="111">
        <f t="shared" si="4"/>
        <v>0.12871803013888888</v>
      </c>
      <c r="DN3" s="132">
        <f t="shared" si="4"/>
        <v>0.13089969166666665</v>
      </c>
      <c r="DO3" s="111">
        <f t="shared" si="4"/>
        <v>0.17453292222222222</v>
      </c>
      <c r="DP3" s="111">
        <f t="shared" si="4"/>
        <v>0.2617993833333333</v>
      </c>
      <c r="DQ3" s="111">
        <f t="shared" si="4"/>
        <v>0.34906584444444444</v>
      </c>
      <c r="DR3" s="111">
        <f t="shared" si="4"/>
        <v>0.43633230555555558</v>
      </c>
      <c r="DS3" s="111">
        <f t="shared" si="4"/>
        <v>0.5235987666666666</v>
      </c>
      <c r="DT3" s="111">
        <f t="shared" si="4"/>
        <v>0.78539815000000002</v>
      </c>
    </row>
    <row r="4" spans="1:124" s="114" customFormat="1" ht="2.1" customHeight="1">
      <c r="A4" s="114" t="s">
        <v>1</v>
      </c>
      <c r="J4" s="133">
        <f>C50</f>
        <v>-42</v>
      </c>
      <c r="R4" s="133">
        <f>D50</f>
        <v>-35</v>
      </c>
      <c r="Z4" s="133">
        <f>E50</f>
        <v>-28.5</v>
      </c>
      <c r="AH4" s="133">
        <f>F50</f>
        <v>-22.5</v>
      </c>
      <c r="AP4" s="133">
        <f>G50</f>
        <v>-16.5</v>
      </c>
      <c r="AX4" s="133">
        <f>H50</f>
        <v>-10.55</v>
      </c>
      <c r="BF4" s="133">
        <f>I50</f>
        <v>-6</v>
      </c>
      <c r="BN4" s="133">
        <f>J50</f>
        <v>-2.6</v>
      </c>
      <c r="BV4" s="133">
        <f>K50</f>
        <v>-0.8</v>
      </c>
      <c r="CD4" s="133">
        <f>L50</f>
        <v>0</v>
      </c>
      <c r="CL4" s="133">
        <f>M50</f>
        <v>-0.1</v>
      </c>
      <c r="CT4" s="133">
        <f>N50</f>
        <v>-0.5</v>
      </c>
      <c r="DB4" s="133">
        <f>O50</f>
        <v>-1.2</v>
      </c>
      <c r="DC4" s="133"/>
      <c r="DD4" s="133"/>
      <c r="DE4" s="133"/>
      <c r="DF4" s="133"/>
      <c r="DG4" s="133"/>
      <c r="DH4" s="133"/>
      <c r="DI4" s="133"/>
      <c r="DJ4" s="133"/>
      <c r="DK4" s="133"/>
      <c r="DL4" s="133"/>
      <c r="DM4" s="133"/>
      <c r="DN4" s="133">
        <f t="shared" ref="DN4:DT4" si="5">P50</f>
        <v>-2.7</v>
      </c>
      <c r="DO4" s="133">
        <f t="shared" si="5"/>
        <v>-5</v>
      </c>
      <c r="DP4" s="133">
        <f t="shared" si="5"/>
        <v>-7.5</v>
      </c>
      <c r="DQ4" s="133">
        <f t="shared" si="5"/>
        <v>-8.75</v>
      </c>
      <c r="DR4" s="133">
        <f t="shared" si="5"/>
        <v>-9.5</v>
      </c>
      <c r="DS4" s="133">
        <f t="shared" si="5"/>
        <v>-10.5</v>
      </c>
      <c r="DT4" s="133">
        <f t="shared" si="5"/>
        <v>-13.2</v>
      </c>
    </row>
    <row r="5" spans="1:124" s="111" customFormat="1" ht="2.1" customHeight="1">
      <c r="A5" s="111" t="s">
        <v>66</v>
      </c>
      <c r="J5" s="132">
        <f>$J4+($Z4-$J4)/($Z2-$J2)*(J2-$J2)</f>
        <v>-42</v>
      </c>
      <c r="K5" s="111">
        <f t="shared" ref="K5:Y5" si="6">$J4+($Z4-$J4)/($Z2-$J2)*(K2-$J2)</f>
        <v>-41.15625</v>
      </c>
      <c r="L5" s="111">
        <f t="shared" si="6"/>
        <v>-40.3125</v>
      </c>
      <c r="M5" s="111">
        <f t="shared" si="6"/>
        <v>-39.46875</v>
      </c>
      <c r="N5" s="111">
        <f t="shared" si="6"/>
        <v>-38.625</v>
      </c>
      <c r="O5" s="111">
        <f t="shared" si="6"/>
        <v>-37.78125</v>
      </c>
      <c r="P5" s="111">
        <f t="shared" si="6"/>
        <v>-36.9375</v>
      </c>
      <c r="Q5" s="111">
        <f t="shared" si="6"/>
        <v>-36.09375</v>
      </c>
      <c r="R5" s="111">
        <f t="shared" si="6"/>
        <v>-35.25</v>
      </c>
      <c r="S5" s="111">
        <f t="shared" si="6"/>
        <v>-34.40625</v>
      </c>
      <c r="T5" s="111">
        <f t="shared" si="6"/>
        <v>-33.5625</v>
      </c>
      <c r="U5" s="111">
        <f t="shared" si="6"/>
        <v>-32.71875</v>
      </c>
      <c r="V5" s="111">
        <f t="shared" si="6"/>
        <v>-31.875</v>
      </c>
      <c r="W5" s="111">
        <f t="shared" si="6"/>
        <v>-31.03125</v>
      </c>
      <c r="X5" s="111">
        <f t="shared" si="6"/>
        <v>-30.1875</v>
      </c>
      <c r="Y5" s="111">
        <f t="shared" si="6"/>
        <v>-29.34375</v>
      </c>
      <c r="Z5" s="132">
        <f>Z4</f>
        <v>-28.5</v>
      </c>
      <c r="AA5" s="111">
        <f>$Z5+($AP5-$Z5)/($AP2-$Z2)*(AA2-$Z2)</f>
        <v>-27.75</v>
      </c>
      <c r="AB5" s="111">
        <f t="shared" ref="AB5:AO5" si="7">$Z5+($AP5-$Z5)/($AP2-$Z2)*(AB2-$Z2)</f>
        <v>-27</v>
      </c>
      <c r="AC5" s="111">
        <f t="shared" si="7"/>
        <v>-26.25</v>
      </c>
      <c r="AD5" s="111">
        <f t="shared" si="7"/>
        <v>-25.5</v>
      </c>
      <c r="AE5" s="111">
        <f t="shared" si="7"/>
        <v>-24.75</v>
      </c>
      <c r="AF5" s="111">
        <f t="shared" si="7"/>
        <v>-24</v>
      </c>
      <c r="AG5" s="111">
        <f t="shared" si="7"/>
        <v>-23.25</v>
      </c>
      <c r="AH5" s="111">
        <f t="shared" si="7"/>
        <v>-22.5</v>
      </c>
      <c r="AI5" s="111">
        <f t="shared" si="7"/>
        <v>-21.75</v>
      </c>
      <c r="AJ5" s="111">
        <f t="shared" si="7"/>
        <v>-21</v>
      </c>
      <c r="AK5" s="111">
        <f t="shared" si="7"/>
        <v>-20.25</v>
      </c>
      <c r="AL5" s="111">
        <f t="shared" si="7"/>
        <v>-19.5</v>
      </c>
      <c r="AM5" s="111">
        <f t="shared" si="7"/>
        <v>-18.75</v>
      </c>
      <c r="AN5" s="111">
        <f t="shared" si="7"/>
        <v>-18</v>
      </c>
      <c r="AO5" s="111">
        <f t="shared" si="7"/>
        <v>-17.25</v>
      </c>
      <c r="AP5" s="132">
        <f>AP4</f>
        <v>-16.5</v>
      </c>
      <c r="AQ5" s="111">
        <f>$AP5+($BF5-$AP5)/($BF2-$AP2)*(AQ2-$AP2)</f>
        <v>-15.84375</v>
      </c>
      <c r="AR5" s="111">
        <f t="shared" ref="AR5:BE5" si="8">$AP5+($BF5-$AP5)/($BF2-$AP2)*(AR2-$AP2)</f>
        <v>-15.1875</v>
      </c>
      <c r="AS5" s="111">
        <f t="shared" si="8"/>
        <v>-14.53125</v>
      </c>
      <c r="AT5" s="111">
        <f t="shared" si="8"/>
        <v>-13.875</v>
      </c>
      <c r="AU5" s="111">
        <f t="shared" si="8"/>
        <v>-13.21875</v>
      </c>
      <c r="AV5" s="111">
        <f t="shared" si="8"/>
        <v>-12.5625</v>
      </c>
      <c r="AW5" s="111">
        <f t="shared" si="8"/>
        <v>-11.90625</v>
      </c>
      <c r="AX5" s="111">
        <f t="shared" si="8"/>
        <v>-11.25</v>
      </c>
      <c r="AY5" s="111">
        <f t="shared" si="8"/>
        <v>-10.59375</v>
      </c>
      <c r="AZ5" s="111">
        <f t="shared" si="8"/>
        <v>-9.9375</v>
      </c>
      <c r="BA5" s="111">
        <f t="shared" si="8"/>
        <v>-9.28125</v>
      </c>
      <c r="BB5" s="111">
        <f t="shared" si="8"/>
        <v>-8.625</v>
      </c>
      <c r="BC5" s="111">
        <f t="shared" si="8"/>
        <v>-7.96875</v>
      </c>
      <c r="BD5" s="111">
        <f t="shared" si="8"/>
        <v>-7.3125</v>
      </c>
      <c r="BE5" s="111">
        <f t="shared" si="8"/>
        <v>-6.65625</v>
      </c>
      <c r="BF5" s="132">
        <f>BF4</f>
        <v>-6</v>
      </c>
      <c r="BG5" s="111">
        <f>$BF5+($BV5-$BF5)/($BV2-$BF2)*(BG2-$BF2)</f>
        <v>-5.6749999999999998</v>
      </c>
      <c r="BH5" s="111">
        <f t="shared" ref="BH5:BU5" si="9">$BF5+($BV5-$BF5)/($BV2-$BF2)*(BH2-$BF2)</f>
        <v>-5.35</v>
      </c>
      <c r="BI5" s="111">
        <f t="shared" si="9"/>
        <v>-5.0250000000000004</v>
      </c>
      <c r="BJ5" s="111">
        <f t="shared" si="9"/>
        <v>-4.7</v>
      </c>
      <c r="BK5" s="111">
        <f t="shared" si="9"/>
        <v>-4.375</v>
      </c>
      <c r="BL5" s="111">
        <f t="shared" si="9"/>
        <v>-4.05</v>
      </c>
      <c r="BM5" s="111">
        <f t="shared" si="9"/>
        <v>-3.7250000000000001</v>
      </c>
      <c r="BN5" s="111">
        <f t="shared" si="9"/>
        <v>-3.4</v>
      </c>
      <c r="BO5" s="111">
        <f t="shared" si="9"/>
        <v>-3.0749999999999997</v>
      </c>
      <c r="BP5" s="111">
        <f t="shared" si="9"/>
        <v>-2.75</v>
      </c>
      <c r="BQ5" s="111">
        <f t="shared" si="9"/>
        <v>-2.4249999999999998</v>
      </c>
      <c r="BR5" s="111">
        <f t="shared" si="9"/>
        <v>-2.0999999999999996</v>
      </c>
      <c r="BS5" s="111">
        <f t="shared" si="9"/>
        <v>-1.7749999999999995</v>
      </c>
      <c r="BT5" s="111">
        <f t="shared" si="9"/>
        <v>-1.4500000000000002</v>
      </c>
      <c r="BU5" s="111">
        <f t="shared" si="9"/>
        <v>-1.125</v>
      </c>
      <c r="BV5" s="132">
        <f>BV4</f>
        <v>-0.8</v>
      </c>
      <c r="BW5" s="111">
        <f>$BV5+($CL5-$BV5)/($CL2-$BV2)*(BW2-$BV2)</f>
        <v>-0.75625000000000009</v>
      </c>
      <c r="BX5" s="111">
        <f t="shared" ref="BX5:CK5" si="10">$BV5+($CL5-$BV5)/($CL2-$BV2)*(BX2-$BV2)</f>
        <v>-0.71250000000000002</v>
      </c>
      <c r="BY5" s="111">
        <f t="shared" si="10"/>
        <v>-0.66875000000000007</v>
      </c>
      <c r="BZ5" s="111">
        <f t="shared" si="10"/>
        <v>-0.625</v>
      </c>
      <c r="CA5" s="111">
        <f t="shared" si="10"/>
        <v>-0.58125000000000004</v>
      </c>
      <c r="CB5" s="111">
        <f t="shared" si="10"/>
        <v>-0.53750000000000009</v>
      </c>
      <c r="CC5" s="111">
        <f t="shared" si="10"/>
        <v>-0.49375000000000002</v>
      </c>
      <c r="CD5" s="111">
        <f t="shared" si="10"/>
        <v>-0.45</v>
      </c>
      <c r="CE5" s="111">
        <f t="shared" si="10"/>
        <v>-0.40625</v>
      </c>
      <c r="CF5" s="111">
        <f t="shared" si="10"/>
        <v>-0.36249999999999999</v>
      </c>
      <c r="CG5" s="111">
        <f t="shared" si="10"/>
        <v>-0.31874999999999998</v>
      </c>
      <c r="CH5" s="111">
        <f t="shared" si="10"/>
        <v>-0.27500000000000002</v>
      </c>
      <c r="CI5" s="111">
        <f t="shared" si="10"/>
        <v>-0.23124999999999996</v>
      </c>
      <c r="CJ5" s="111">
        <f t="shared" si="10"/>
        <v>-0.1875</v>
      </c>
      <c r="CK5" s="111">
        <f t="shared" si="10"/>
        <v>-0.14374999999999993</v>
      </c>
      <c r="CL5" s="132">
        <f>CL4</f>
        <v>-0.1</v>
      </c>
      <c r="CM5" s="111">
        <f>$CL5+($DB5-$CL5)/($DB2-$CL2)*(CM2-$CL2)</f>
        <v>-0.16875000000000001</v>
      </c>
      <c r="CN5" s="111">
        <f t="shared" ref="CN5:DA5" si="11">$CL5+($DB5-$CL5)/($DB2-$CL2)*(CN2-$CL2)</f>
        <v>-0.23749999999999999</v>
      </c>
      <c r="CO5" s="111">
        <f t="shared" si="11"/>
        <v>-0.30625000000000002</v>
      </c>
      <c r="CP5" s="111">
        <f t="shared" si="11"/>
        <v>-0.375</v>
      </c>
      <c r="CQ5" s="111">
        <f t="shared" si="11"/>
        <v>-0.44374999999999998</v>
      </c>
      <c r="CR5" s="111">
        <f t="shared" si="11"/>
        <v>-0.51249999999999996</v>
      </c>
      <c r="CS5" s="111">
        <f t="shared" si="11"/>
        <v>-0.58124999999999993</v>
      </c>
      <c r="CT5" s="111">
        <f t="shared" si="11"/>
        <v>-0.64999999999999991</v>
      </c>
      <c r="CU5" s="111">
        <f t="shared" si="11"/>
        <v>-0.71874999999999989</v>
      </c>
      <c r="CV5" s="111">
        <f t="shared" si="11"/>
        <v>-0.78749999999999987</v>
      </c>
      <c r="CW5" s="111">
        <f t="shared" si="11"/>
        <v>-0.85624999999999984</v>
      </c>
      <c r="CX5" s="111">
        <f t="shared" si="11"/>
        <v>-0.92499999999999993</v>
      </c>
      <c r="CY5" s="111">
        <f t="shared" si="11"/>
        <v>-0.99374999999999991</v>
      </c>
      <c r="CZ5" s="111">
        <f t="shared" si="11"/>
        <v>-1.0625</v>
      </c>
      <c r="DA5" s="111">
        <f t="shared" si="11"/>
        <v>-1.1312499999999999</v>
      </c>
      <c r="DB5" s="132">
        <f>DB4</f>
        <v>-1.2</v>
      </c>
      <c r="DC5" s="132"/>
      <c r="DD5" s="132"/>
      <c r="DE5" s="132"/>
      <c r="DF5" s="132"/>
      <c r="DG5" s="132"/>
      <c r="DH5" s="132"/>
      <c r="DI5" s="132"/>
      <c r="DJ5" s="132"/>
      <c r="DK5" s="132"/>
      <c r="DL5" s="132"/>
      <c r="DM5" s="132"/>
      <c r="DN5" s="132"/>
      <c r="DO5" s="132"/>
      <c r="DP5" s="132"/>
      <c r="DQ5" s="132"/>
      <c r="DR5" s="132"/>
      <c r="DS5" s="132"/>
      <c r="DT5" s="132"/>
    </row>
    <row r="6" spans="1:124" s="111" customFormat="1" ht="2.1" customHeight="1">
      <c r="A6" s="111" t="s">
        <v>71</v>
      </c>
      <c r="J6" s="132"/>
      <c r="R6" s="132">
        <f>R4-R5</f>
        <v>0.25</v>
      </c>
      <c r="Z6" s="132"/>
      <c r="AH6" s="132">
        <f>AH4-AH5</f>
        <v>0</v>
      </c>
      <c r="AP6" s="132"/>
      <c r="AX6" s="132">
        <f>AX4-AX5</f>
        <v>0.69999999999999929</v>
      </c>
      <c r="BF6" s="132"/>
      <c r="BN6" s="132">
        <f>BN4-BN5</f>
        <v>0.79999999999999982</v>
      </c>
      <c r="BV6" s="132"/>
      <c r="CD6" s="132">
        <f>CD4-CD5</f>
        <v>0.45</v>
      </c>
      <c r="CL6" s="132"/>
      <c r="CT6" s="132">
        <f>CT4-CT5</f>
        <v>0.14999999999999991</v>
      </c>
      <c r="DB6" s="132"/>
      <c r="DC6" s="132"/>
      <c r="DD6" s="132"/>
      <c r="DE6" s="132"/>
      <c r="DF6" s="132"/>
      <c r="DG6" s="132"/>
      <c r="DH6" s="132"/>
      <c r="DI6" s="132"/>
      <c r="DJ6" s="132"/>
      <c r="DK6" s="132"/>
      <c r="DL6" s="132"/>
      <c r="DM6" s="132"/>
      <c r="DN6" s="132"/>
      <c r="DO6" s="132"/>
      <c r="DP6" s="132"/>
      <c r="DQ6" s="132"/>
      <c r="DR6" s="132"/>
      <c r="DS6" s="132"/>
      <c r="DT6" s="132"/>
    </row>
    <row r="7" spans="1:124" s="111" customFormat="1" ht="2.1" customHeight="1">
      <c r="A7" s="111" t="s">
        <v>68</v>
      </c>
      <c r="J7" s="111">
        <f t="shared" ref="J7:Q7" si="12">$R6*COS((J2-$R2)*1.57)</f>
        <v>1.9908167768331584E-4</v>
      </c>
      <c r="K7" s="111">
        <f t="shared" si="12"/>
        <v>4.8943418000146982E-2</v>
      </c>
      <c r="L7" s="111">
        <f t="shared" si="12"/>
        <v>9.5808786650154562E-2</v>
      </c>
      <c r="M7" s="111">
        <f t="shared" si="12"/>
        <v>0.13899599753740963</v>
      </c>
      <c r="N7" s="111">
        <f t="shared" si="12"/>
        <v>0.17684706729179994</v>
      </c>
      <c r="O7" s="111">
        <f t="shared" si="12"/>
        <v>0.20790887025634408</v>
      </c>
      <c r="P7" s="111">
        <f t="shared" si="12"/>
        <v>0.23098892486756803</v>
      </c>
      <c r="Q7" s="111">
        <f t="shared" si="12"/>
        <v>0.24520117375013931</v>
      </c>
      <c r="R7" s="111">
        <f>$R6*COS((R2-$R2)*1.57)</f>
        <v>0.25</v>
      </c>
      <c r="S7" s="111">
        <f t="shared" ref="S7:Z7" si="13">$R6*COS((S2-$R2)*1.57)</f>
        <v>0.24520117375013931</v>
      </c>
      <c r="T7" s="111">
        <f t="shared" si="13"/>
        <v>0.23098892486756803</v>
      </c>
      <c r="U7" s="111">
        <f t="shared" si="13"/>
        <v>0.20790887025634408</v>
      </c>
      <c r="V7" s="111">
        <f t="shared" si="13"/>
        <v>0.17684706729179994</v>
      </c>
      <c r="W7" s="111">
        <f t="shared" si="13"/>
        <v>0.13899599753740963</v>
      </c>
      <c r="X7" s="111">
        <f t="shared" si="13"/>
        <v>9.5808786650154562E-2</v>
      </c>
      <c r="Y7" s="111">
        <f t="shared" si="13"/>
        <v>4.8943418000146982E-2</v>
      </c>
      <c r="Z7" s="111">
        <f t="shared" si="13"/>
        <v>1.9908167768331584E-4</v>
      </c>
      <c r="AA7" s="111">
        <f t="shared" ref="AA7:AG7" si="14">$AH6*COS((AA2-$AH2)*1.57)</f>
        <v>0</v>
      </c>
      <c r="AB7" s="111">
        <f t="shared" si="14"/>
        <v>0</v>
      </c>
      <c r="AC7" s="111">
        <f t="shared" si="14"/>
        <v>0</v>
      </c>
      <c r="AD7" s="111">
        <f t="shared" si="14"/>
        <v>0</v>
      </c>
      <c r="AE7" s="111">
        <f t="shared" si="14"/>
        <v>0</v>
      </c>
      <c r="AF7" s="111">
        <f t="shared" si="14"/>
        <v>0</v>
      </c>
      <c r="AG7" s="111">
        <f t="shared" si="14"/>
        <v>0</v>
      </c>
      <c r="AH7" s="111">
        <f>$AH6*COS((AH2-$AH2)*1.57)</f>
        <v>0</v>
      </c>
      <c r="AI7" s="111">
        <f t="shared" ref="AI7:AO7" si="15">$AH6*COS((AI2-$AH2)*1.57)</f>
        <v>0</v>
      </c>
      <c r="AJ7" s="111">
        <f t="shared" si="15"/>
        <v>0</v>
      </c>
      <c r="AK7" s="111">
        <f t="shared" si="15"/>
        <v>0</v>
      </c>
      <c r="AL7" s="111">
        <f t="shared" si="15"/>
        <v>0</v>
      </c>
      <c r="AM7" s="111">
        <f t="shared" si="15"/>
        <v>0</v>
      </c>
      <c r="AN7" s="111">
        <f t="shared" si="15"/>
        <v>0</v>
      </c>
      <c r="AO7" s="111">
        <f t="shared" si="15"/>
        <v>0</v>
      </c>
      <c r="AP7" s="111">
        <f>$AX6*COS((AP2-$AX2)*1.5708)</f>
        <v>-2.5712435723425813E-6</v>
      </c>
      <c r="AQ7" s="111">
        <f t="shared" ref="AQ7:BF7" si="16">$AX6*COS((AQ2-$AX2)*1.5708)</f>
        <v>0.13656101880246724</v>
      </c>
      <c r="AR7" s="111">
        <f t="shared" si="16"/>
        <v>0.26787662101506388</v>
      </c>
      <c r="AS7" s="111">
        <f t="shared" si="16"/>
        <v>0.38889782691838615</v>
      </c>
      <c r="AT7" s="111">
        <f t="shared" si="16"/>
        <v>0.49497383775786491</v>
      </c>
      <c r="AU7" s="111">
        <f t="shared" si="16"/>
        <v>0.58202819292133245</v>
      </c>
      <c r="AV7" s="111">
        <f t="shared" si="16"/>
        <v>0.64671542676454841</v>
      </c>
      <c r="AW7" s="111">
        <f t="shared" si="16"/>
        <v>0.68654963357909615</v>
      </c>
      <c r="AX7" s="111">
        <f t="shared" si="16"/>
        <v>0.69999999999999929</v>
      </c>
      <c r="AY7" s="111">
        <f t="shared" si="16"/>
        <v>0.68654963357909615</v>
      </c>
      <c r="AZ7" s="111">
        <f t="shared" si="16"/>
        <v>0.64671542676454841</v>
      </c>
      <c r="BA7" s="111">
        <f t="shared" si="16"/>
        <v>0.58202819292133245</v>
      </c>
      <c r="BB7" s="111">
        <f t="shared" si="16"/>
        <v>0.49497383775786491</v>
      </c>
      <c r="BC7" s="111">
        <f t="shared" si="16"/>
        <v>0.38889782691838615</v>
      </c>
      <c r="BD7" s="111">
        <f t="shared" si="16"/>
        <v>0.26787662101506388</v>
      </c>
      <c r="BE7" s="111">
        <f t="shared" si="16"/>
        <v>0.13656101880246724</v>
      </c>
      <c r="BF7" s="111">
        <f t="shared" si="16"/>
        <v>-2.5712435723425813E-6</v>
      </c>
      <c r="BG7" s="111">
        <f>$BN6*COS((BG2-$BN2)*1.5708)</f>
        <v>0.1560697357742484</v>
      </c>
      <c r="BH7" s="111">
        <f t="shared" ref="BH7:BV7" si="17">$BN6*COS((BH2-$BN2)*1.5708)</f>
        <v>0.30614470973150182</v>
      </c>
      <c r="BI7" s="111">
        <f t="shared" si="17"/>
        <v>0.44445465933529876</v>
      </c>
      <c r="BJ7" s="111">
        <f t="shared" si="17"/>
        <v>0.56568438600898885</v>
      </c>
      <c r="BK7" s="111">
        <f t="shared" si="17"/>
        <v>0.66517507762438044</v>
      </c>
      <c r="BL7" s="111">
        <f t="shared" si="17"/>
        <v>0.73910334487377027</v>
      </c>
      <c r="BM7" s="111">
        <f t="shared" si="17"/>
        <v>0.78462815266182484</v>
      </c>
      <c r="BN7" s="111">
        <f t="shared" si="17"/>
        <v>0.79999999999999982</v>
      </c>
      <c r="BO7" s="111">
        <f t="shared" si="17"/>
        <v>0.78462815266182484</v>
      </c>
      <c r="BP7" s="111">
        <f t="shared" si="17"/>
        <v>0.73910334487377027</v>
      </c>
      <c r="BQ7" s="111">
        <f t="shared" si="17"/>
        <v>0.66517507762438044</v>
      </c>
      <c r="BR7" s="111">
        <f t="shared" si="17"/>
        <v>0.56568438600898885</v>
      </c>
      <c r="BS7" s="111">
        <f t="shared" si="17"/>
        <v>0.44445465933529876</v>
      </c>
      <c r="BT7" s="111">
        <f t="shared" si="17"/>
        <v>0.30614470973150182</v>
      </c>
      <c r="BU7" s="111">
        <f t="shared" si="17"/>
        <v>0.1560697357742484</v>
      </c>
      <c r="BV7" s="111">
        <f t="shared" si="17"/>
        <v>-2.9385640826772381E-6</v>
      </c>
      <c r="BW7" s="111">
        <f t="shared" ref="BW7:CC7" si="18">$CD6*COS((BW2-$CD2)*1.5708)</f>
        <v>8.7789226373014742E-2</v>
      </c>
      <c r="BX7" s="111">
        <f t="shared" si="18"/>
        <v>0.17220639922396982</v>
      </c>
      <c r="BY7" s="111">
        <f t="shared" si="18"/>
        <v>0.25000574587610563</v>
      </c>
      <c r="BZ7" s="111">
        <f t="shared" si="18"/>
        <v>0.31819746713005631</v>
      </c>
      <c r="CA7" s="111">
        <f t="shared" si="18"/>
        <v>0.3741609811637141</v>
      </c>
      <c r="CB7" s="111">
        <f t="shared" si="18"/>
        <v>0.41574563149149585</v>
      </c>
      <c r="CC7" s="111">
        <f t="shared" si="18"/>
        <v>0.44135333587227654</v>
      </c>
      <c r="CD7" s="111">
        <f>$CD6*COS((CD2-$CD2)*1.5708)</f>
        <v>0.45</v>
      </c>
      <c r="CE7" s="111">
        <f t="shared" ref="CE7:CL7" si="19">$CD6*COS((CE2-$CD2)*1.5708)</f>
        <v>0.44135333587227654</v>
      </c>
      <c r="CF7" s="111">
        <f t="shared" si="19"/>
        <v>0.41574563149149585</v>
      </c>
      <c r="CG7" s="111">
        <f t="shared" si="19"/>
        <v>0.3741609811637141</v>
      </c>
      <c r="CH7" s="111">
        <f t="shared" si="19"/>
        <v>0.31819746713005631</v>
      </c>
      <c r="CI7" s="111">
        <f t="shared" si="19"/>
        <v>0.25000574587610563</v>
      </c>
      <c r="CJ7" s="111">
        <f t="shared" si="19"/>
        <v>0.17220639922396982</v>
      </c>
      <c r="CK7" s="111">
        <f t="shared" si="19"/>
        <v>8.7789226373014742E-2</v>
      </c>
      <c r="CL7" s="111">
        <f t="shared" si="19"/>
        <v>-1.652942296505947E-6</v>
      </c>
      <c r="CM7" s="111">
        <f t="shared" ref="CM7:CS7" si="20">$CT6*COS((CM2-$CT2)*1.5708)</f>
        <v>2.9263075457671563E-2</v>
      </c>
      <c r="CN7" s="111">
        <f t="shared" si="20"/>
        <v>5.7402133074656574E-2</v>
      </c>
      <c r="CO7" s="111">
        <f t="shared" si="20"/>
        <v>8.3335248625368494E-2</v>
      </c>
      <c r="CP7" s="111">
        <f t="shared" si="20"/>
        <v>0.10606582237668538</v>
      </c>
      <c r="CQ7" s="111">
        <f t="shared" si="20"/>
        <v>0.12472032705457128</v>
      </c>
      <c r="CR7" s="111">
        <f t="shared" si="20"/>
        <v>0.13858187716383186</v>
      </c>
      <c r="CS7" s="111">
        <f t="shared" si="20"/>
        <v>0.14711777862409209</v>
      </c>
      <c r="CT7" s="111">
        <f>$CT6*COS((CT2-$CT2)*1.5708)</f>
        <v>0.14999999999999991</v>
      </c>
      <c r="CU7" s="111">
        <f t="shared" ref="CU7:DB7" si="21">$CT6*COS((CU2-$CT2)*1.5708)</f>
        <v>0.14711777862409209</v>
      </c>
      <c r="CV7" s="111">
        <f t="shared" si="21"/>
        <v>0.13858187716383186</v>
      </c>
      <c r="CW7" s="111">
        <f t="shared" si="21"/>
        <v>0.12472032705457128</v>
      </c>
      <c r="CX7" s="111">
        <f t="shared" si="21"/>
        <v>0.10606582237668538</v>
      </c>
      <c r="CY7" s="111">
        <f t="shared" si="21"/>
        <v>8.3335248625368494E-2</v>
      </c>
      <c r="CZ7" s="111">
        <f t="shared" si="21"/>
        <v>5.7402133074656574E-2</v>
      </c>
      <c r="DA7" s="111">
        <f t="shared" si="21"/>
        <v>2.9263075457671563E-2</v>
      </c>
      <c r="DB7" s="111">
        <f t="shared" si="21"/>
        <v>-5.50980765501982E-7</v>
      </c>
      <c r="DC7" s="132"/>
      <c r="DD7" s="132"/>
      <c r="DE7" s="132"/>
      <c r="DF7" s="132"/>
      <c r="DG7" s="132"/>
      <c r="DH7" s="132"/>
      <c r="DI7" s="132"/>
      <c r="DJ7" s="132"/>
      <c r="DK7" s="132"/>
      <c r="DL7" s="132"/>
      <c r="DM7" s="132"/>
      <c r="DN7" s="132"/>
      <c r="DO7" s="132"/>
      <c r="DP7" s="132"/>
      <c r="DQ7" s="132"/>
      <c r="DR7" s="132"/>
      <c r="DS7" s="132"/>
      <c r="DT7" s="132"/>
    </row>
    <row r="8" spans="1:124" s="111" customFormat="1" ht="2.1" customHeight="1">
      <c r="A8" s="111" t="s">
        <v>69</v>
      </c>
      <c r="J8" s="111">
        <f>J5+J7</f>
        <v>-41.999800918322315</v>
      </c>
      <c r="K8" s="111">
        <f t="shared" ref="K8:Z8" si="22">K5+K7</f>
        <v>-41.10730658199985</v>
      </c>
      <c r="L8" s="111">
        <f t="shared" si="22"/>
        <v>-40.216691213349847</v>
      </c>
      <c r="M8" s="111">
        <f t="shared" si="22"/>
        <v>-39.329754002462593</v>
      </c>
      <c r="N8" s="111">
        <f t="shared" si="22"/>
        <v>-38.448152932708197</v>
      </c>
      <c r="O8" s="111">
        <f t="shared" si="22"/>
        <v>-37.573341129743653</v>
      </c>
      <c r="P8" s="111">
        <f t="shared" si="22"/>
        <v>-36.706511075132433</v>
      </c>
      <c r="Q8" s="111">
        <f t="shared" si="22"/>
        <v>-35.848548826249861</v>
      </c>
      <c r="R8" s="111">
        <f t="shared" si="22"/>
        <v>-35</v>
      </c>
      <c r="S8" s="111">
        <f t="shared" si="22"/>
        <v>-34.161048826249861</v>
      </c>
      <c r="T8" s="111">
        <f t="shared" si="22"/>
        <v>-33.331511075132433</v>
      </c>
      <c r="U8" s="111">
        <f t="shared" si="22"/>
        <v>-32.510841129743653</v>
      </c>
      <c r="V8" s="111">
        <f t="shared" si="22"/>
        <v>-31.698152932708201</v>
      </c>
      <c r="W8" s="111">
        <f t="shared" si="22"/>
        <v>-30.89225400246259</v>
      </c>
      <c r="X8" s="111">
        <f t="shared" si="22"/>
        <v>-30.091691213349847</v>
      </c>
      <c r="Y8" s="111">
        <f t="shared" si="22"/>
        <v>-29.294806581999854</v>
      </c>
      <c r="Z8" s="111">
        <f t="shared" si="22"/>
        <v>-28.499800918322318</v>
      </c>
      <c r="AA8" s="111">
        <f t="shared" ref="AA8" si="23">AA5+AA7</f>
        <v>-27.75</v>
      </c>
      <c r="AB8" s="111">
        <f t="shared" ref="AB8" si="24">AB5+AB7</f>
        <v>-27</v>
      </c>
      <c r="AC8" s="111">
        <f t="shared" ref="AC8" si="25">AC5+AC7</f>
        <v>-26.25</v>
      </c>
      <c r="AD8" s="111">
        <f t="shared" ref="AD8" si="26">AD5+AD7</f>
        <v>-25.5</v>
      </c>
      <c r="AE8" s="111">
        <f t="shared" ref="AE8" si="27">AE5+AE7</f>
        <v>-24.75</v>
      </c>
      <c r="AF8" s="111">
        <f t="shared" ref="AF8" si="28">AF5+AF7</f>
        <v>-24</v>
      </c>
      <c r="AG8" s="111">
        <f t="shared" ref="AG8" si="29">AG5+AG7</f>
        <v>-23.25</v>
      </c>
      <c r="AH8" s="111">
        <f t="shared" ref="AH8" si="30">AH5+AH7</f>
        <v>-22.5</v>
      </c>
      <c r="AI8" s="111">
        <f t="shared" ref="AI8" si="31">AI5+AI7</f>
        <v>-21.75</v>
      </c>
      <c r="AJ8" s="111">
        <f t="shared" ref="AJ8" si="32">AJ5+AJ7</f>
        <v>-21</v>
      </c>
      <c r="AK8" s="111">
        <f t="shared" ref="AK8" si="33">AK5+AK7</f>
        <v>-20.25</v>
      </c>
      <c r="AL8" s="111">
        <f t="shared" ref="AL8" si="34">AL5+AL7</f>
        <v>-19.5</v>
      </c>
      <c r="AM8" s="111">
        <f t="shared" ref="AM8" si="35">AM5+AM7</f>
        <v>-18.75</v>
      </c>
      <c r="AN8" s="111">
        <f t="shared" ref="AN8" si="36">AN5+AN7</f>
        <v>-18</v>
      </c>
      <c r="AO8" s="111">
        <f t="shared" ref="AO8" si="37">AO5+AO7</f>
        <v>-17.25</v>
      </c>
      <c r="AP8" s="111">
        <f t="shared" ref="AP8" si="38">AP5+AP7</f>
        <v>-16.500002571243574</v>
      </c>
      <c r="AQ8" s="111">
        <f t="shared" ref="AQ8" si="39">AQ5+AQ7</f>
        <v>-15.707188981197532</v>
      </c>
      <c r="AR8" s="111">
        <f t="shared" ref="AR8" si="40">AR5+AR7</f>
        <v>-14.919623378984936</v>
      </c>
      <c r="AS8" s="111">
        <f t="shared" ref="AS8" si="41">AS5+AS7</f>
        <v>-14.142352173081614</v>
      </c>
      <c r="AT8" s="111">
        <f t="shared" ref="AT8" si="42">AT5+AT7</f>
        <v>-13.380026162242135</v>
      </c>
      <c r="AU8" s="111">
        <f t="shared" ref="AU8" si="43">AU5+AU7</f>
        <v>-12.636721807078668</v>
      </c>
      <c r="AV8" s="111">
        <f t="shared" ref="AV8" si="44">AV5+AV7</f>
        <v>-11.915784573235452</v>
      </c>
      <c r="AW8" s="111">
        <f t="shared" ref="AW8" si="45">AW5+AW7</f>
        <v>-11.219700366420904</v>
      </c>
      <c r="AX8" s="111">
        <f t="shared" ref="AX8" si="46">AX5+AX7</f>
        <v>-10.55</v>
      </c>
      <c r="AY8" s="111">
        <f t="shared" ref="AY8" si="47">AY5+AY7</f>
        <v>-9.9072003664209038</v>
      </c>
      <c r="AZ8" s="111">
        <f t="shared" ref="AZ8" si="48">AZ5+AZ7</f>
        <v>-9.2907845732354524</v>
      </c>
      <c r="BA8" s="111">
        <f t="shared" ref="BA8" si="49">BA5+BA7</f>
        <v>-8.6992218070786684</v>
      </c>
      <c r="BB8" s="111">
        <f t="shared" ref="BB8" si="50">BB5+BB7</f>
        <v>-8.1300261622421353</v>
      </c>
      <c r="BC8" s="111">
        <f t="shared" ref="BC8" si="51">BC5+BC7</f>
        <v>-7.5798521730816137</v>
      </c>
      <c r="BD8" s="111">
        <f t="shared" ref="BD8" si="52">BD5+BD7</f>
        <v>-7.0446233789849364</v>
      </c>
      <c r="BE8" s="111">
        <f t="shared" ref="BE8" si="53">BE5+BE7</f>
        <v>-6.5196889811975325</v>
      </c>
      <c r="BF8" s="111">
        <f t="shared" ref="BF8" si="54">BF5+BF7</f>
        <v>-6.0000025712435727</v>
      </c>
      <c r="BG8" s="111">
        <f t="shared" ref="BG8" si="55">BG5+BG7</f>
        <v>-5.5189302642257516</v>
      </c>
      <c r="BH8" s="111">
        <f t="shared" ref="BH8" si="56">BH5+BH7</f>
        <v>-5.0438552902684979</v>
      </c>
      <c r="BI8" s="111">
        <f t="shared" ref="BI8" si="57">BI5+BI7</f>
        <v>-4.5805453406647016</v>
      </c>
      <c r="BJ8" s="111">
        <f t="shared" ref="BJ8" si="58">BJ5+BJ7</f>
        <v>-4.1343156139910118</v>
      </c>
      <c r="BK8" s="111">
        <f t="shared" ref="BK8" si="59">BK5+BK7</f>
        <v>-3.7098249223756197</v>
      </c>
      <c r="BL8" s="111">
        <f t="shared" ref="BL8" si="60">BL5+BL7</f>
        <v>-3.3108966551262293</v>
      </c>
      <c r="BM8" s="111">
        <f t="shared" ref="BM8" si="61">BM5+BM7</f>
        <v>-2.9403718473381755</v>
      </c>
      <c r="BN8" s="111">
        <f t="shared" ref="BN8" si="62">BN5+BN7</f>
        <v>-2.6</v>
      </c>
      <c r="BO8" s="111">
        <f t="shared" ref="BO8" si="63">BO5+BO7</f>
        <v>-2.2903718473381751</v>
      </c>
      <c r="BP8" s="111">
        <f t="shared" ref="BP8" si="64">BP5+BP7</f>
        <v>-2.0108966551262295</v>
      </c>
      <c r="BQ8" s="111">
        <f t="shared" ref="BQ8" si="65">BQ5+BQ7</f>
        <v>-1.7598249223756195</v>
      </c>
      <c r="BR8" s="111">
        <f t="shared" ref="BR8" si="66">BR5+BR7</f>
        <v>-1.5343156139910108</v>
      </c>
      <c r="BS8" s="111">
        <f t="shared" ref="BS8" si="67">BS5+BS7</f>
        <v>-1.3305453406647008</v>
      </c>
      <c r="BT8" s="111">
        <f t="shared" ref="BT8" si="68">BT5+BT7</f>
        <v>-1.1438552902684984</v>
      </c>
      <c r="BU8" s="111">
        <f t="shared" ref="BU8" si="69">BU5+BU7</f>
        <v>-0.96893026422575157</v>
      </c>
      <c r="BV8" s="111">
        <f t="shared" ref="BV8" si="70">BV5+BV7</f>
        <v>-0.80000293856408267</v>
      </c>
      <c r="BW8" s="111">
        <f t="shared" ref="BW8" si="71">BW5+BW7</f>
        <v>-0.66846077362698531</v>
      </c>
      <c r="BX8" s="111">
        <f t="shared" ref="BX8" si="72">BX5+BX7</f>
        <v>-0.54029360077603017</v>
      </c>
      <c r="BY8" s="111">
        <f t="shared" ref="BY8" si="73">BY5+BY7</f>
        <v>-0.41874425412389443</v>
      </c>
      <c r="BZ8" s="111">
        <f t="shared" ref="BZ8" si="74">BZ5+BZ7</f>
        <v>-0.30680253286994369</v>
      </c>
      <c r="CA8" s="111">
        <f t="shared" ref="CA8" si="75">CA5+CA7</f>
        <v>-0.20708901883628594</v>
      </c>
      <c r="CB8" s="111">
        <f t="shared" ref="CB8" si="76">CB5+CB7</f>
        <v>-0.12175436850850424</v>
      </c>
      <c r="CC8" s="111">
        <f t="shared" ref="CC8" si="77">CC5+CC7</f>
        <v>-5.239666412772348E-2</v>
      </c>
      <c r="CD8" s="111">
        <f t="shared" ref="CD8" si="78">CD5+CD7</f>
        <v>0</v>
      </c>
      <c r="CE8" s="111">
        <f t="shared" ref="CE8" si="79">CE5+CE7</f>
        <v>3.5103335872276542E-2</v>
      </c>
      <c r="CF8" s="111">
        <f t="shared" ref="CF8" si="80">CF5+CF7</f>
        <v>5.3245631491495859E-2</v>
      </c>
      <c r="CG8" s="111">
        <f t="shared" ref="CG8" si="81">CG5+CG7</f>
        <v>5.5410981163714124E-2</v>
      </c>
      <c r="CH8" s="111">
        <f t="shared" ref="CH8" si="82">CH5+CH7</f>
        <v>4.3197467130056288E-2</v>
      </c>
      <c r="CI8" s="111">
        <f t="shared" ref="CI8" si="83">CI5+CI7</f>
        <v>1.8755745876105678E-2</v>
      </c>
      <c r="CJ8" s="111">
        <f t="shared" ref="CJ8" si="84">CJ5+CJ7</f>
        <v>-1.5293600776030175E-2</v>
      </c>
      <c r="CK8" s="111">
        <f t="shared" ref="CK8" si="85">CK5+CK7</f>
        <v>-5.5960773626985191E-2</v>
      </c>
      <c r="CL8" s="111">
        <f t="shared" ref="CL8" si="86">CL5+CL7</f>
        <v>-0.10000165294229652</v>
      </c>
      <c r="CM8" s="111">
        <f t="shared" ref="CM8" si="87">CM5+CM7</f>
        <v>-0.13948692454232844</v>
      </c>
      <c r="CN8" s="111">
        <f t="shared" ref="CN8" si="88">CN5+CN7</f>
        <v>-0.18009786692534341</v>
      </c>
      <c r="CO8" s="111">
        <f t="shared" ref="CO8" si="89">CO5+CO7</f>
        <v>-0.22291475137463151</v>
      </c>
      <c r="CP8" s="111">
        <f t="shared" ref="CP8" si="90">CP5+CP7</f>
        <v>-0.26893417762331462</v>
      </c>
      <c r="CQ8" s="111">
        <f t="shared" ref="CQ8" si="91">CQ5+CQ7</f>
        <v>-0.31902967294542872</v>
      </c>
      <c r="CR8" s="111">
        <f t="shared" ref="CR8" si="92">CR5+CR7</f>
        <v>-0.3739181228361681</v>
      </c>
      <c r="CS8" s="111">
        <f t="shared" ref="CS8" si="93">CS5+CS7</f>
        <v>-0.43413222137590785</v>
      </c>
      <c r="CT8" s="111">
        <f t="shared" ref="CT8" si="94">CT5+CT7</f>
        <v>-0.5</v>
      </c>
      <c r="CU8" s="111">
        <f t="shared" ref="CU8" si="95">CU5+CU7</f>
        <v>-0.57163222137590775</v>
      </c>
      <c r="CV8" s="111">
        <f t="shared" ref="CV8" si="96">CV5+CV7</f>
        <v>-0.64891812283616801</v>
      </c>
      <c r="CW8" s="111">
        <f t="shared" ref="CW8" si="97">CW5+CW7</f>
        <v>-0.73152967294542859</v>
      </c>
      <c r="CX8" s="111">
        <f t="shared" ref="CX8" si="98">CX5+CX7</f>
        <v>-0.81893417762331455</v>
      </c>
      <c r="CY8" s="111">
        <f t="shared" ref="CY8" si="99">CY5+CY7</f>
        <v>-0.91041475137463146</v>
      </c>
      <c r="CZ8" s="111">
        <f t="shared" ref="CZ8" si="100">CZ5+CZ7</f>
        <v>-1.0050978669253434</v>
      </c>
      <c r="DA8" s="111">
        <f t="shared" ref="DA8" si="101">DA5+DA7</f>
        <v>-1.1019869245423284</v>
      </c>
      <c r="DB8" s="111">
        <f t="shared" ref="DB8" si="102">DB5+DB7</f>
        <v>-1.2000005509807654</v>
      </c>
      <c r="DC8" s="132"/>
      <c r="DD8" s="132"/>
      <c r="DE8" s="132"/>
      <c r="DF8" s="132"/>
      <c r="DG8" s="132"/>
      <c r="DH8" s="132"/>
      <c r="DI8" s="132"/>
      <c r="DJ8" s="132"/>
      <c r="DK8" s="132"/>
      <c r="DL8" s="132"/>
      <c r="DM8" s="132"/>
      <c r="DN8" s="132"/>
      <c r="DO8" s="132"/>
      <c r="DP8" s="132"/>
      <c r="DQ8" s="132"/>
      <c r="DR8" s="132"/>
      <c r="DS8" s="132"/>
      <c r="DT8" s="132"/>
    </row>
    <row r="9" spans="1:124" s="111" customFormat="1" ht="2.1" customHeight="1">
      <c r="A9" s="111" t="s">
        <v>67</v>
      </c>
      <c r="R9" s="111">
        <f>R4</f>
        <v>-35</v>
      </c>
      <c r="S9" s="111">
        <f>$R9+($AH9-$R9)/($AH2-$R2)*(S2-$R2)</f>
        <v>-34.21875</v>
      </c>
      <c r="T9" s="111">
        <f t="shared" ref="T9:AG9" si="103">$R9+($AH9-$R9)/($AH2-$R2)*(T2-$R2)</f>
        <v>-33.4375</v>
      </c>
      <c r="U9" s="111">
        <f t="shared" si="103"/>
        <v>-32.65625</v>
      </c>
      <c r="V9" s="111">
        <f t="shared" si="103"/>
        <v>-31.875</v>
      </c>
      <c r="W9" s="111">
        <f t="shared" si="103"/>
        <v>-31.09375</v>
      </c>
      <c r="X9" s="111">
        <f t="shared" si="103"/>
        <v>-30.3125</v>
      </c>
      <c r="Y9" s="111">
        <f t="shared" si="103"/>
        <v>-29.53125</v>
      </c>
      <c r="Z9" s="111">
        <f t="shared" si="103"/>
        <v>-28.75</v>
      </c>
      <c r="AA9" s="111">
        <f t="shared" si="103"/>
        <v>-27.96875</v>
      </c>
      <c r="AB9" s="111">
        <f t="shared" si="103"/>
        <v>-27.1875</v>
      </c>
      <c r="AC9" s="111">
        <f t="shared" si="103"/>
        <v>-26.40625</v>
      </c>
      <c r="AD9" s="111">
        <f t="shared" si="103"/>
        <v>-25.625</v>
      </c>
      <c r="AE9" s="111">
        <f t="shared" si="103"/>
        <v>-24.84375</v>
      </c>
      <c r="AF9" s="111">
        <f t="shared" si="103"/>
        <v>-24.0625</v>
      </c>
      <c r="AG9" s="111">
        <f t="shared" si="103"/>
        <v>-23.28125</v>
      </c>
      <c r="AH9" s="111">
        <f>AH4</f>
        <v>-22.5</v>
      </c>
      <c r="AI9" s="111">
        <f>$AH9+($AX9-$AH9)/($AX2-$AH2)*(AI2-$AH2)</f>
        <v>-21.753125000000001</v>
      </c>
      <c r="AJ9" s="111">
        <f t="shared" ref="AJ9:AW9" si="104">$AH9+($AX9-$AH9)/($AX2-$AH2)*(AJ2-$AH2)</f>
        <v>-21.006250000000001</v>
      </c>
      <c r="AK9" s="111">
        <f t="shared" si="104"/>
        <v>-20.259374999999999</v>
      </c>
      <c r="AL9" s="111">
        <f t="shared" si="104"/>
        <v>-19.512499999999999</v>
      </c>
      <c r="AM9" s="111">
        <f t="shared" si="104"/>
        <v>-18.765625</v>
      </c>
      <c r="AN9" s="111">
        <f t="shared" si="104"/>
        <v>-18.018750000000001</v>
      </c>
      <c r="AO9" s="111">
        <f t="shared" si="104"/>
        <v>-17.271875000000001</v>
      </c>
      <c r="AP9" s="111">
        <f t="shared" si="104"/>
        <v>-16.524999999999999</v>
      </c>
      <c r="AQ9" s="111">
        <f t="shared" si="104"/>
        <v>-15.778124999999999</v>
      </c>
      <c r="AR9" s="111">
        <f t="shared" si="104"/>
        <v>-15.03125</v>
      </c>
      <c r="AS9" s="111">
        <f t="shared" si="104"/>
        <v>-14.284375000000001</v>
      </c>
      <c r="AT9" s="111">
        <f t="shared" si="104"/>
        <v>-13.537500000000001</v>
      </c>
      <c r="AU9" s="111">
        <f t="shared" si="104"/>
        <v>-12.790625</v>
      </c>
      <c r="AV9" s="111">
        <f t="shared" si="104"/>
        <v>-12.043750000000001</v>
      </c>
      <c r="AW9" s="111">
        <f t="shared" si="104"/>
        <v>-11.296875</v>
      </c>
      <c r="AX9" s="111">
        <f>AX4</f>
        <v>-10.55</v>
      </c>
      <c r="AY9" s="111">
        <f>$AX9+($BN9-$AX9)/($BN2-$AX2)*(AY2-$AX2)</f>
        <v>-10.053125000000001</v>
      </c>
      <c r="AZ9" s="111">
        <f t="shared" ref="AZ9:BM9" si="105">$AX9+($BN9-$AX9)/($BN2-$AX2)*(AZ2-$AX2)</f>
        <v>-9.5562500000000004</v>
      </c>
      <c r="BA9" s="111">
        <f t="shared" si="105"/>
        <v>-9.0593750000000011</v>
      </c>
      <c r="BB9" s="111">
        <f t="shared" si="105"/>
        <v>-8.5625</v>
      </c>
      <c r="BC9" s="111">
        <f t="shared" si="105"/>
        <v>-8.0656250000000007</v>
      </c>
      <c r="BD9" s="111">
        <f t="shared" si="105"/>
        <v>-7.5687500000000005</v>
      </c>
      <c r="BE9" s="111">
        <f t="shared" si="105"/>
        <v>-7.0718750000000004</v>
      </c>
      <c r="BF9" s="111">
        <f t="shared" si="105"/>
        <v>-6.5750000000000002</v>
      </c>
      <c r="BG9" s="111">
        <f t="shared" si="105"/>
        <v>-6.078125</v>
      </c>
      <c r="BH9" s="111">
        <f t="shared" si="105"/>
        <v>-5.5812499999999998</v>
      </c>
      <c r="BI9" s="111">
        <f t="shared" si="105"/>
        <v>-5.0843749999999996</v>
      </c>
      <c r="BJ9" s="111">
        <f t="shared" si="105"/>
        <v>-4.5875000000000004</v>
      </c>
      <c r="BK9" s="111">
        <f t="shared" si="105"/>
        <v>-4.0906250000000002</v>
      </c>
      <c r="BL9" s="111">
        <f t="shared" si="105"/>
        <v>-3.59375</v>
      </c>
      <c r="BM9" s="111">
        <f t="shared" si="105"/>
        <v>-3.0968749999999998</v>
      </c>
      <c r="BN9" s="111">
        <f>BN4</f>
        <v>-2.6</v>
      </c>
      <c r="BO9" s="111">
        <f>$BN9+($CD9-$BN9)/($CD2-$BN2)*(BO2-$BN2)</f>
        <v>-2.4375</v>
      </c>
      <c r="BP9" s="111">
        <f t="shared" ref="BP9:CC9" si="106">$BN9+($CD9-$BN9)/($CD2-$BN2)*(BP2-$BN2)</f>
        <v>-2.2749999999999999</v>
      </c>
      <c r="BQ9" s="111">
        <f t="shared" si="106"/>
        <v>-2.1124999999999998</v>
      </c>
      <c r="BR9" s="111">
        <f t="shared" si="106"/>
        <v>-1.9500000000000002</v>
      </c>
      <c r="BS9" s="111">
        <f t="shared" si="106"/>
        <v>-1.7875000000000001</v>
      </c>
      <c r="BT9" s="111">
        <f t="shared" si="106"/>
        <v>-1.625</v>
      </c>
      <c r="BU9" s="111">
        <f t="shared" si="106"/>
        <v>-1.4625000000000001</v>
      </c>
      <c r="BV9" s="111">
        <f t="shared" si="106"/>
        <v>-1.3</v>
      </c>
      <c r="BW9" s="111">
        <f t="shared" si="106"/>
        <v>-1.1375</v>
      </c>
      <c r="BX9" s="111">
        <f t="shared" si="106"/>
        <v>-0.97500000000000009</v>
      </c>
      <c r="BY9" s="111">
        <f t="shared" si="106"/>
        <v>-0.8125</v>
      </c>
      <c r="BZ9" s="111">
        <f t="shared" si="106"/>
        <v>-0.64999999999999991</v>
      </c>
      <c r="CA9" s="111">
        <f t="shared" si="106"/>
        <v>-0.48749999999999982</v>
      </c>
      <c r="CB9" s="111">
        <f t="shared" si="106"/>
        <v>-0.32500000000000018</v>
      </c>
      <c r="CC9" s="111">
        <f t="shared" si="106"/>
        <v>-0.16250000000000009</v>
      </c>
      <c r="CD9" s="111">
        <f>CD4</f>
        <v>0</v>
      </c>
      <c r="CE9" s="111">
        <f>$CD9+($CT9-$CD9)/($CT2-$CD2)*(CE2-$CD2)</f>
        <v>-3.125E-2</v>
      </c>
      <c r="CF9" s="111">
        <f t="shared" ref="CF9:CS9" si="107">$CD9+($CT9-$CD9)/($CT2-$CD2)*(CF2-$CD2)</f>
        <v>-6.25E-2</v>
      </c>
      <c r="CG9" s="111">
        <f t="shared" si="107"/>
        <v>-9.375E-2</v>
      </c>
      <c r="CH9" s="111">
        <f t="shared" si="107"/>
        <v>-0.125</v>
      </c>
      <c r="CI9" s="111">
        <f t="shared" si="107"/>
        <v>-0.15625</v>
      </c>
      <c r="CJ9" s="111">
        <f t="shared" si="107"/>
        <v>-0.1875</v>
      </c>
      <c r="CK9" s="111">
        <f t="shared" si="107"/>
        <v>-0.21875</v>
      </c>
      <c r="CL9" s="111">
        <f t="shared" si="107"/>
        <v>-0.25</v>
      </c>
      <c r="CM9" s="111">
        <f t="shared" si="107"/>
        <v>-0.28125</v>
      </c>
      <c r="CN9" s="111">
        <f t="shared" si="107"/>
        <v>-0.3125</v>
      </c>
      <c r="CO9" s="111">
        <f t="shared" si="107"/>
        <v>-0.34375</v>
      </c>
      <c r="CP9" s="111">
        <f t="shared" si="107"/>
        <v>-0.375</v>
      </c>
      <c r="CQ9" s="111">
        <f t="shared" si="107"/>
        <v>-0.40625</v>
      </c>
      <c r="CR9" s="111">
        <f t="shared" si="107"/>
        <v>-0.4375</v>
      </c>
      <c r="CS9" s="111">
        <f t="shared" si="107"/>
        <v>-0.46875</v>
      </c>
      <c r="CT9" s="111">
        <f>CT4</f>
        <v>-0.5</v>
      </c>
      <c r="CU9" s="111">
        <f>$CT9+($DN9-$CT9)/($DN2-$CT2)*(CU2-$CT2)</f>
        <v>-0.61</v>
      </c>
      <c r="CV9" s="111">
        <f t="shared" ref="CV9:DM9" si="108">$CT9+($DN9-$CT9)/($DN2-$CT2)*(CV2-$CT2)</f>
        <v>-0.72</v>
      </c>
      <c r="CW9" s="111">
        <f t="shared" si="108"/>
        <v>-0.83000000000000007</v>
      </c>
      <c r="CX9" s="111">
        <f t="shared" si="108"/>
        <v>-0.94000000000000006</v>
      </c>
      <c r="CY9" s="111">
        <f t="shared" si="108"/>
        <v>-1.05</v>
      </c>
      <c r="CZ9" s="111">
        <f t="shared" si="108"/>
        <v>-1.1600000000000001</v>
      </c>
      <c r="DA9" s="111">
        <f t="shared" si="108"/>
        <v>-1.27</v>
      </c>
      <c r="DB9" s="111">
        <f t="shared" si="108"/>
        <v>-1.3800000000000001</v>
      </c>
      <c r="DC9" s="111">
        <f t="shared" si="108"/>
        <v>-1.4900000000000002</v>
      </c>
      <c r="DD9" s="111">
        <f t="shared" si="108"/>
        <v>-1.6</v>
      </c>
      <c r="DE9" s="111">
        <f t="shared" si="108"/>
        <v>-1.7100000000000002</v>
      </c>
      <c r="DF9" s="111">
        <f t="shared" si="108"/>
        <v>-1.8200000000000003</v>
      </c>
      <c r="DG9" s="111">
        <f t="shared" si="108"/>
        <v>-1.9300000000000002</v>
      </c>
      <c r="DH9" s="111">
        <f t="shared" si="108"/>
        <v>-2.04</v>
      </c>
      <c r="DI9" s="111">
        <f t="shared" si="108"/>
        <v>-2.1500000000000004</v>
      </c>
      <c r="DJ9" s="111">
        <f t="shared" si="108"/>
        <v>-2.2600000000000002</v>
      </c>
      <c r="DK9" s="111">
        <f t="shared" si="108"/>
        <v>-2.37</v>
      </c>
      <c r="DL9" s="111">
        <f t="shared" si="108"/>
        <v>-2.4800000000000004</v>
      </c>
      <c r="DM9" s="111">
        <f t="shared" si="108"/>
        <v>-2.5900000000000003</v>
      </c>
      <c r="DN9" s="111">
        <f>DN4</f>
        <v>-2.7</v>
      </c>
    </row>
    <row r="10" spans="1:124" s="111" customFormat="1" ht="2.1" customHeight="1">
      <c r="A10" s="111" t="s">
        <v>70</v>
      </c>
      <c r="Z10" s="111">
        <f xml:space="preserve"> Z4-Z9</f>
        <v>0.25</v>
      </c>
      <c r="AP10" s="111">
        <f>AP4-AP9</f>
        <v>2.4999999999998579E-2</v>
      </c>
      <c r="BF10" s="111">
        <f>BF4-BF9</f>
        <v>0.57500000000000018</v>
      </c>
      <c r="BV10" s="111">
        <f>BV4-BV9</f>
        <v>0.5</v>
      </c>
      <c r="CL10" s="111">
        <f>CL4-CL9</f>
        <v>0.15</v>
      </c>
      <c r="DB10" s="111">
        <f>DB4-DB9</f>
        <v>0.18000000000000016</v>
      </c>
    </row>
    <row r="11" spans="1:124" s="111" customFormat="1" ht="2.1" customHeight="1">
      <c r="A11" s="111" t="s">
        <v>68</v>
      </c>
      <c r="R11" s="111">
        <f t="shared" ref="R11:Y11" si="109">$Z10*COS((R2-$Z2)*1.5708)</f>
        <v>-9.1830127583663713E-7</v>
      </c>
      <c r="S11" s="111">
        <f t="shared" si="109"/>
        <v>4.8771792429452634E-2</v>
      </c>
      <c r="T11" s="111">
        <f t="shared" si="109"/>
        <v>9.5670221791094343E-2</v>
      </c>
      <c r="U11" s="111">
        <f t="shared" si="109"/>
        <v>0.1388920810422809</v>
      </c>
      <c r="V11" s="111">
        <f t="shared" si="109"/>
        <v>0.17677637062780907</v>
      </c>
      <c r="W11" s="111">
        <f t="shared" si="109"/>
        <v>0.20786721175761894</v>
      </c>
      <c r="X11" s="111">
        <f t="shared" si="109"/>
        <v>0.23096979527305325</v>
      </c>
      <c r="Y11" s="111">
        <f t="shared" si="109"/>
        <v>0.2451962977068203</v>
      </c>
      <c r="Z11" s="111">
        <f>$Z10*COS((Z2-$Z2)*1.5708)</f>
        <v>0.25</v>
      </c>
      <c r="AA11" s="111">
        <f t="shared" ref="AA11:AH11" si="110">$Z10*COS((AA2-$Z2)*1.5708)</f>
        <v>0.2451962977068203</v>
      </c>
      <c r="AB11" s="111">
        <f t="shared" si="110"/>
        <v>0.23096979527305325</v>
      </c>
      <c r="AC11" s="111">
        <f t="shared" si="110"/>
        <v>0.20786721175761894</v>
      </c>
      <c r="AD11" s="111">
        <f t="shared" si="110"/>
        <v>0.17677637062780907</v>
      </c>
      <c r="AE11" s="111">
        <f t="shared" si="110"/>
        <v>0.1388920810422809</v>
      </c>
      <c r="AF11" s="111">
        <f t="shared" si="110"/>
        <v>9.5670221791094343E-2</v>
      </c>
      <c r="AG11" s="111">
        <f t="shared" si="110"/>
        <v>4.8771792429452634E-2</v>
      </c>
      <c r="AH11" s="111">
        <f t="shared" si="110"/>
        <v>-9.1830127583663713E-7</v>
      </c>
      <c r="AI11" s="111">
        <f t="shared" ref="AI11:AO11" si="111">$AP10*COS((AI2-$AP2)*1.5708)</f>
        <v>4.8771792429449859E-3</v>
      </c>
      <c r="AJ11" s="111">
        <f t="shared" si="111"/>
        <v>9.5670221791088906E-3</v>
      </c>
      <c r="AK11" s="111">
        <f t="shared" si="111"/>
        <v>1.3889208104227301E-2</v>
      </c>
      <c r="AL11" s="111">
        <f t="shared" si="111"/>
        <v>1.7677637062779902E-2</v>
      </c>
      <c r="AM11" s="111">
        <f t="shared" si="111"/>
        <v>2.0786721175760713E-2</v>
      </c>
      <c r="AN11" s="111">
        <f t="shared" si="111"/>
        <v>2.3096979527304013E-2</v>
      </c>
      <c r="AO11" s="111">
        <f t="shared" si="111"/>
        <v>2.4519629770680635E-2</v>
      </c>
      <c r="AP11" s="111">
        <f>$AP10*COS((AP2-$AP2)*1.5708)</f>
        <v>2.4999999999998579E-2</v>
      </c>
      <c r="AQ11" s="111">
        <f t="shared" ref="AQ11:AX11" si="112">$AP10*COS((AQ2-$AP2)*1.5708)</f>
        <v>2.4519629770680635E-2</v>
      </c>
      <c r="AR11" s="111">
        <f t="shared" si="112"/>
        <v>2.3096979527304013E-2</v>
      </c>
      <c r="AS11" s="111">
        <f t="shared" si="112"/>
        <v>2.0786721175760713E-2</v>
      </c>
      <c r="AT11" s="111">
        <f t="shared" si="112"/>
        <v>1.7677637062779902E-2</v>
      </c>
      <c r="AU11" s="111">
        <f t="shared" si="112"/>
        <v>1.3889208104227301E-2</v>
      </c>
      <c r="AV11" s="111">
        <f t="shared" si="112"/>
        <v>9.5670221791088906E-3</v>
      </c>
      <c r="AW11" s="111">
        <f t="shared" si="112"/>
        <v>4.8771792429449859E-3</v>
      </c>
      <c r="AX11" s="111">
        <f t="shared" si="112"/>
        <v>-9.1830127583658488E-8</v>
      </c>
      <c r="AY11" s="111">
        <f t="shared" ref="AY11:BE11" si="113">$BF10*COS((AY2-$BF2)*1.5708)</f>
        <v>0.11217512258774109</v>
      </c>
      <c r="AZ11" s="111">
        <f t="shared" si="113"/>
        <v>0.22004151011951706</v>
      </c>
      <c r="BA11" s="111">
        <f t="shared" si="113"/>
        <v>0.3194517863972462</v>
      </c>
      <c r="BB11" s="111">
        <f t="shared" si="113"/>
        <v>0.406585652443961</v>
      </c>
      <c r="BC11" s="111">
        <f t="shared" si="113"/>
        <v>0.47809458704252372</v>
      </c>
      <c r="BD11" s="111">
        <f t="shared" si="113"/>
        <v>0.5312305291280226</v>
      </c>
      <c r="BE11" s="111">
        <f t="shared" si="113"/>
        <v>0.5639514847256869</v>
      </c>
      <c r="BF11" s="111">
        <f>$BF10*COS((BF2-$BF2)*1.5708)</f>
        <v>0.57500000000000018</v>
      </c>
      <c r="BG11" s="111">
        <f t="shared" ref="BG11:BN11" si="114">$BF10*COS((BG2-$BF2)*1.5708)</f>
        <v>0.5639514847256869</v>
      </c>
      <c r="BH11" s="111">
        <f t="shared" si="114"/>
        <v>0.5312305291280226</v>
      </c>
      <c r="BI11" s="111">
        <f t="shared" si="114"/>
        <v>0.47809458704252372</v>
      </c>
      <c r="BJ11" s="111">
        <f t="shared" si="114"/>
        <v>0.406585652443961</v>
      </c>
      <c r="BK11" s="111">
        <f t="shared" si="114"/>
        <v>0.3194517863972462</v>
      </c>
      <c r="BL11" s="111">
        <f t="shared" si="114"/>
        <v>0.22004151011951706</v>
      </c>
      <c r="BM11" s="111">
        <f t="shared" si="114"/>
        <v>0.11217512258774109</v>
      </c>
      <c r="BN11" s="111">
        <f t="shared" si="114"/>
        <v>-2.1120929344242662E-6</v>
      </c>
      <c r="BO11" s="111">
        <f t="shared" ref="BO11:BU11" si="115">$BV10*COS((BO2-$BV2)*1.5708)</f>
        <v>9.7543584858905269E-2</v>
      </c>
      <c r="BP11" s="111">
        <f t="shared" si="115"/>
        <v>0.19134044358218869</v>
      </c>
      <c r="BQ11" s="111">
        <f t="shared" si="115"/>
        <v>0.2777841620845618</v>
      </c>
      <c r="BR11" s="111">
        <f t="shared" si="115"/>
        <v>0.35355274125561814</v>
      </c>
      <c r="BS11" s="111">
        <f t="shared" si="115"/>
        <v>0.41573442351523787</v>
      </c>
      <c r="BT11" s="111">
        <f t="shared" si="115"/>
        <v>0.4619395905461065</v>
      </c>
      <c r="BU11" s="111">
        <f t="shared" si="115"/>
        <v>0.49039259541364061</v>
      </c>
      <c r="BV11" s="111">
        <f>$BV10*COS((BV2-$BV2)*1.5708)</f>
        <v>0.5</v>
      </c>
      <c r="BW11" s="111">
        <f t="shared" ref="BW11:CD11" si="116">$BV10*COS((BW2-$BV2)*1.5708)</f>
        <v>0.49039259541364061</v>
      </c>
      <c r="BX11" s="111">
        <f t="shared" si="116"/>
        <v>0.4619395905461065</v>
      </c>
      <c r="BY11" s="111">
        <f t="shared" si="116"/>
        <v>0.41573442351523787</v>
      </c>
      <c r="BZ11" s="111">
        <f t="shared" si="116"/>
        <v>0.35355274125561814</v>
      </c>
      <c r="CA11" s="111">
        <f t="shared" si="116"/>
        <v>0.2777841620845618</v>
      </c>
      <c r="CB11" s="111">
        <f t="shared" si="116"/>
        <v>0.19134044358218869</v>
      </c>
      <c r="CC11" s="111">
        <f t="shared" si="116"/>
        <v>9.7543584858905269E-2</v>
      </c>
      <c r="CD11" s="111">
        <f t="shared" si="116"/>
        <v>-1.8366025516732743E-6</v>
      </c>
      <c r="CE11" s="111">
        <f t="shared" ref="CE11:CK11" si="117">$CL10*COS((CE2-$CL2)*1.57)</f>
        <v>2.9366050800088188E-2</v>
      </c>
      <c r="CF11" s="111">
        <f t="shared" si="117"/>
        <v>5.7485271990092734E-2</v>
      </c>
      <c r="CG11" s="111">
        <f t="shared" si="117"/>
        <v>8.3397598522445771E-2</v>
      </c>
      <c r="CH11" s="111">
        <f t="shared" si="117"/>
        <v>0.10610824037507996</v>
      </c>
      <c r="CI11" s="111">
        <f t="shared" si="117"/>
        <v>0.12474532215380645</v>
      </c>
      <c r="CJ11" s="111">
        <f t="shared" si="117"/>
        <v>0.13859335492054081</v>
      </c>
      <c r="CK11" s="111">
        <f t="shared" si="117"/>
        <v>0.14712070425008358</v>
      </c>
      <c r="CL11" s="111">
        <f>$CL10*COS((CL2-$CL2)*1.57)</f>
        <v>0.15</v>
      </c>
      <c r="CM11" s="111">
        <f t="shared" ref="CM11:CT11" si="118">$CL10*COS((CM2-$CL2)*1.57)</f>
        <v>0.14712070425008358</v>
      </c>
      <c r="CN11" s="111">
        <f t="shared" si="118"/>
        <v>0.13859335492054081</v>
      </c>
      <c r="CO11" s="111">
        <f t="shared" si="118"/>
        <v>0.12474532215380645</v>
      </c>
      <c r="CP11" s="111">
        <f t="shared" si="118"/>
        <v>0.10610824037507996</v>
      </c>
      <c r="CQ11" s="111">
        <f t="shared" si="118"/>
        <v>8.3397598522445771E-2</v>
      </c>
      <c r="CR11" s="111">
        <f t="shared" si="118"/>
        <v>5.7485271990092734E-2</v>
      </c>
      <c r="CS11" s="111">
        <f t="shared" si="118"/>
        <v>2.9366050800088188E-2</v>
      </c>
      <c r="CT11" s="111">
        <f t="shared" si="118"/>
        <v>1.1944900660998949E-4</v>
      </c>
      <c r="CU11" s="111">
        <f t="shared" ref="CU11:DA11" si="119">$DB10*COS((CU2-$DB2)*1.5708)</f>
        <v>3.5115690549205929E-2</v>
      </c>
      <c r="CV11" s="111">
        <f t="shared" si="119"/>
        <v>6.8882559689587994E-2</v>
      </c>
      <c r="CW11" s="111">
        <f t="shared" si="119"/>
        <v>0.10000229835044233</v>
      </c>
      <c r="CX11" s="111">
        <f t="shared" si="119"/>
        <v>0.12727898685202266</v>
      </c>
      <c r="CY11" s="111">
        <f t="shared" si="119"/>
        <v>0.14966439246548577</v>
      </c>
      <c r="CZ11" s="111">
        <f t="shared" si="119"/>
        <v>0.1662982525965985</v>
      </c>
      <c r="DA11" s="111">
        <f t="shared" si="119"/>
        <v>0.17654133434891078</v>
      </c>
      <c r="DB11" s="111">
        <f>$DB10*COS((DB2-$DB2)*1.5708)</f>
        <v>0.18000000000000016</v>
      </c>
      <c r="DC11" s="111">
        <f t="shared" ref="DC11:DJ11" si="120">$DB10*COS((DC2-$DB2)*1.5708)</f>
        <v>0.17654133434891078</v>
      </c>
      <c r="DD11" s="111">
        <f t="shared" si="120"/>
        <v>0.1662982525965985</v>
      </c>
      <c r="DE11" s="111">
        <f t="shared" si="120"/>
        <v>0.14966439246548577</v>
      </c>
      <c r="DF11" s="111">
        <f t="shared" si="120"/>
        <v>0.12727898685202266</v>
      </c>
      <c r="DG11" s="111">
        <f t="shared" si="120"/>
        <v>0.10000229835044233</v>
      </c>
      <c r="DH11" s="111">
        <f t="shared" si="120"/>
        <v>6.8882559689587994E-2</v>
      </c>
      <c r="DI11" s="111">
        <f t="shared" si="120"/>
        <v>3.5115690549205929E-2</v>
      </c>
      <c r="DJ11" s="111">
        <f t="shared" si="120"/>
        <v>-6.6117691860237927E-7</v>
      </c>
    </row>
    <row r="12" spans="1:124" s="111" customFormat="1" ht="2.1" customHeight="1">
      <c r="A12" s="111" t="s">
        <v>72</v>
      </c>
      <c r="R12" s="111">
        <f>R9+R11</f>
        <v>-35.000000918301275</v>
      </c>
      <c r="S12" s="111">
        <f t="shared" ref="S12:AH12" si="121">S9+S11</f>
        <v>-34.169978207570544</v>
      </c>
      <c r="T12" s="111">
        <f t="shared" si="121"/>
        <v>-33.341829778208904</v>
      </c>
      <c r="U12" s="111">
        <f t="shared" si="121"/>
        <v>-32.517357918957721</v>
      </c>
      <c r="V12" s="111">
        <f t="shared" si="121"/>
        <v>-31.69822362937219</v>
      </c>
      <c r="W12" s="111">
        <f t="shared" si="121"/>
        <v>-30.88588278824238</v>
      </c>
      <c r="X12" s="111">
        <f t="shared" si="121"/>
        <v>-30.081530204726945</v>
      </c>
      <c r="Y12" s="111">
        <f t="shared" si="121"/>
        <v>-29.286053702293181</v>
      </c>
      <c r="Z12" s="111">
        <f t="shared" si="121"/>
        <v>-28.5</v>
      </c>
      <c r="AA12" s="111">
        <f t="shared" si="121"/>
        <v>-27.723553702293181</v>
      </c>
      <c r="AB12" s="111">
        <f t="shared" si="121"/>
        <v>-26.956530204726945</v>
      </c>
      <c r="AC12" s="111">
        <f t="shared" si="121"/>
        <v>-26.19838278824238</v>
      </c>
      <c r="AD12" s="111">
        <f t="shared" si="121"/>
        <v>-25.44822362937219</v>
      </c>
      <c r="AE12" s="111">
        <f t="shared" si="121"/>
        <v>-24.704857918957718</v>
      </c>
      <c r="AF12" s="111">
        <f t="shared" si="121"/>
        <v>-23.966829778208904</v>
      </c>
      <c r="AG12" s="111">
        <f t="shared" si="121"/>
        <v>-23.232478207570548</v>
      </c>
      <c r="AH12" s="111">
        <f t="shared" si="121"/>
        <v>-22.500000918301275</v>
      </c>
      <c r="AI12" s="111">
        <f t="shared" ref="AI12" si="122">AI9+AI11</f>
        <v>-21.748247820757054</v>
      </c>
      <c r="AJ12" s="111">
        <f t="shared" ref="AJ12" si="123">AJ9+AJ11</f>
        <v>-20.996682977820893</v>
      </c>
      <c r="AK12" s="111">
        <f t="shared" ref="AK12" si="124">AK9+AK11</f>
        <v>-20.245485791895771</v>
      </c>
      <c r="AL12" s="111">
        <f t="shared" ref="AL12" si="125">AL9+AL11</f>
        <v>-19.494822362937221</v>
      </c>
      <c r="AM12" s="111">
        <f t="shared" ref="AM12" si="126">AM9+AM11</f>
        <v>-18.74483827882424</v>
      </c>
      <c r="AN12" s="111">
        <f t="shared" ref="AN12" si="127">AN9+AN11</f>
        <v>-17.995653020472698</v>
      </c>
      <c r="AO12" s="111">
        <f t="shared" ref="AO12" si="128">AO9+AO11</f>
        <v>-17.247355370229322</v>
      </c>
      <c r="AP12" s="111">
        <f t="shared" ref="AP12" si="129">AP9+AP11</f>
        <v>-16.5</v>
      </c>
      <c r="AQ12" s="111">
        <f t="shared" ref="AQ12" si="130">AQ9+AQ11</f>
        <v>-15.75360537022932</v>
      </c>
      <c r="AR12" s="111">
        <f t="shared" ref="AR12" si="131">AR9+AR11</f>
        <v>-15.008153020472696</v>
      </c>
      <c r="AS12" s="111">
        <f t="shared" ref="AS12" si="132">AS9+AS11</f>
        <v>-14.263588278824241</v>
      </c>
      <c r="AT12" s="111">
        <f t="shared" ref="AT12" si="133">AT9+AT11</f>
        <v>-13.519822362937221</v>
      </c>
      <c r="AU12" s="111">
        <f t="shared" ref="AU12" si="134">AU9+AU11</f>
        <v>-12.776735791895772</v>
      </c>
      <c r="AV12" s="111">
        <f t="shared" ref="AV12" si="135">AV9+AV11</f>
        <v>-12.034182977820892</v>
      </c>
      <c r="AW12" s="111">
        <f t="shared" ref="AW12" si="136">AW9+AW11</f>
        <v>-11.291997820757055</v>
      </c>
      <c r="AX12" s="111">
        <f t="shared" ref="AX12" si="137">AX9+AX11</f>
        <v>-10.550000091830128</v>
      </c>
      <c r="AY12" s="111">
        <f t="shared" ref="AY12" si="138">AY9+AY11</f>
        <v>-9.94094987741226</v>
      </c>
      <c r="AZ12" s="111">
        <f t="shared" ref="AZ12" si="139">AZ9+AZ11</f>
        <v>-9.3362084898804838</v>
      </c>
      <c r="BA12" s="111">
        <f t="shared" ref="BA12" si="140">BA9+BA11</f>
        <v>-8.7399232136027543</v>
      </c>
      <c r="BB12" s="111">
        <f t="shared" ref="BB12" si="141">BB9+BB11</f>
        <v>-8.1559143475560383</v>
      </c>
      <c r="BC12" s="111">
        <f t="shared" ref="BC12" si="142">BC9+BC11</f>
        <v>-7.5875304129574772</v>
      </c>
      <c r="BD12" s="111">
        <f t="shared" ref="BD12" si="143">BD9+BD11</f>
        <v>-7.0375194708719775</v>
      </c>
      <c r="BE12" s="111">
        <f t="shared" ref="BE12" si="144">BE9+BE11</f>
        <v>-6.5079235152743138</v>
      </c>
      <c r="BF12" s="111">
        <f t="shared" ref="BF12" si="145">BF9+BF11</f>
        <v>-6</v>
      </c>
      <c r="BG12" s="111">
        <f t="shared" ref="BG12" si="146">BG9+BG11</f>
        <v>-5.5141735152743134</v>
      </c>
      <c r="BH12" s="111">
        <f t="shared" ref="BH12" si="147">BH9+BH11</f>
        <v>-5.0500194708719768</v>
      </c>
      <c r="BI12" s="111">
        <f t="shared" ref="BI12" si="148">BI9+BI11</f>
        <v>-4.6062804129574761</v>
      </c>
      <c r="BJ12" s="111">
        <f t="shared" ref="BJ12" si="149">BJ9+BJ11</f>
        <v>-4.1809143475560395</v>
      </c>
      <c r="BK12" s="111">
        <f t="shared" ref="BK12" si="150">BK9+BK11</f>
        <v>-3.7711732136027538</v>
      </c>
      <c r="BL12" s="111">
        <f t="shared" ref="BL12" si="151">BL9+BL11</f>
        <v>-3.373708489880483</v>
      </c>
      <c r="BM12" s="111">
        <f t="shared" ref="BM12" si="152">BM9+BM11</f>
        <v>-2.9846998774122588</v>
      </c>
      <c r="BN12" s="111">
        <f t="shared" ref="BN12" si="153">BN9+BN11</f>
        <v>-2.6000021120929344</v>
      </c>
      <c r="BO12" s="111">
        <f t="shared" ref="BO12" si="154">BO9+BO11</f>
        <v>-2.3399564151410948</v>
      </c>
      <c r="BP12" s="111">
        <f t="shared" ref="BP12" si="155">BP9+BP11</f>
        <v>-2.0836595564178113</v>
      </c>
      <c r="BQ12" s="111">
        <f t="shared" ref="BQ12" si="156">BQ9+BQ11</f>
        <v>-1.834715837915438</v>
      </c>
      <c r="BR12" s="111">
        <f t="shared" ref="BR12" si="157">BR9+BR11</f>
        <v>-1.5964472587443821</v>
      </c>
      <c r="BS12" s="111">
        <f t="shared" ref="BS12" si="158">BS9+BS11</f>
        <v>-1.3717655764847623</v>
      </c>
      <c r="BT12" s="111">
        <f t="shared" ref="BT12" si="159">BT9+BT11</f>
        <v>-1.1630604094538934</v>
      </c>
      <c r="BU12" s="111">
        <f t="shared" ref="BU12" si="160">BU9+BU11</f>
        <v>-0.97210740458635958</v>
      </c>
      <c r="BV12" s="111">
        <f t="shared" ref="BV12" si="161">BV9+BV11</f>
        <v>-0.8</v>
      </c>
      <c r="BW12" s="111">
        <f t="shared" ref="BW12" si="162">BW9+BW11</f>
        <v>-0.6471074045863594</v>
      </c>
      <c r="BX12" s="111">
        <f t="shared" ref="BX12" si="163">BX9+BX11</f>
        <v>-0.51306040945389353</v>
      </c>
      <c r="BY12" s="111">
        <f t="shared" ref="BY12" si="164">BY9+BY11</f>
        <v>-0.39676557648476213</v>
      </c>
      <c r="BZ12" s="111">
        <f t="shared" ref="BZ12" si="165">BZ9+BZ11</f>
        <v>-0.29644725874438177</v>
      </c>
      <c r="CA12" s="111">
        <f t="shared" ref="CA12" si="166">CA9+CA11</f>
        <v>-0.20971583791543802</v>
      </c>
      <c r="CB12" s="111">
        <f t="shared" ref="CB12" si="167">CB9+CB11</f>
        <v>-0.13365955641781149</v>
      </c>
      <c r="CC12" s="111">
        <f t="shared" ref="CC12" si="168">CC9+CC11</f>
        <v>-6.495641514109482E-2</v>
      </c>
      <c r="CD12" s="111">
        <f t="shared" ref="CD12" si="169">CD9+CD11</f>
        <v>-1.8366025516732743E-6</v>
      </c>
      <c r="CE12" s="111">
        <f t="shared" ref="CE12" si="170">CE9+CE11</f>
        <v>-1.8839491999118121E-3</v>
      </c>
      <c r="CF12" s="111">
        <f t="shared" ref="CF12" si="171">CF9+CF11</f>
        <v>-5.0147280099072655E-3</v>
      </c>
      <c r="CG12" s="111">
        <f t="shared" ref="CG12" si="172">CG9+CG11</f>
        <v>-1.0352401477554229E-2</v>
      </c>
      <c r="CH12" s="111">
        <f t="shared" ref="CH12" si="173">CH9+CH11</f>
        <v>-1.889175962492004E-2</v>
      </c>
      <c r="CI12" s="111">
        <f t="shared" ref="CI12" si="174">CI9+CI11</f>
        <v>-3.1504677846193554E-2</v>
      </c>
      <c r="CJ12" s="111">
        <f t="shared" ref="CJ12" si="175">CJ9+CJ11</f>
        <v>-4.8906645079459188E-2</v>
      </c>
      <c r="CK12" s="111">
        <f t="shared" ref="CK12" si="176">CK9+CK11</f>
        <v>-7.1629295749916416E-2</v>
      </c>
      <c r="CL12" s="111">
        <f t="shared" ref="CL12" si="177">CL9+CL11</f>
        <v>-0.1</v>
      </c>
      <c r="CM12" s="111">
        <f t="shared" ref="CM12" si="178">CM9+CM11</f>
        <v>-0.13412929574991642</v>
      </c>
      <c r="CN12" s="111">
        <f t="shared" ref="CN12" si="179">CN9+CN11</f>
        <v>-0.17390664507945919</v>
      </c>
      <c r="CO12" s="111">
        <f t="shared" ref="CO12" si="180">CO9+CO11</f>
        <v>-0.21900467784619354</v>
      </c>
      <c r="CP12" s="111">
        <f t="shared" ref="CP12" si="181">CP9+CP11</f>
        <v>-0.26889175962492007</v>
      </c>
      <c r="CQ12" s="111">
        <f t="shared" ref="CQ12" si="182">CQ9+CQ11</f>
        <v>-0.32285240147755423</v>
      </c>
      <c r="CR12" s="111">
        <f t="shared" ref="CR12" si="183">CR9+CR11</f>
        <v>-0.38001472800990727</v>
      </c>
      <c r="CS12" s="111">
        <f t="shared" ref="CS12" si="184">CS9+CS11</f>
        <v>-0.43938394919991181</v>
      </c>
      <c r="CT12" s="111">
        <f t="shared" ref="CT12" si="185">CT9+CT11</f>
        <v>-0.49988055099339002</v>
      </c>
      <c r="CU12" s="111">
        <f t="shared" ref="CU12" si="186">CU9+CU11</f>
        <v>-0.57488430945079405</v>
      </c>
      <c r="CV12" s="111">
        <f t="shared" ref="CV12" si="187">CV9+CV11</f>
        <v>-0.65111744031041197</v>
      </c>
      <c r="CW12" s="111">
        <f t="shared" ref="CW12" si="188">CW9+CW11</f>
        <v>-0.7299977016495578</v>
      </c>
      <c r="CX12" s="111">
        <f t="shared" ref="CX12" si="189">CX9+CX11</f>
        <v>-0.8127210131479774</v>
      </c>
      <c r="CY12" s="111">
        <f t="shared" ref="CY12" si="190">CY9+CY11</f>
        <v>-0.90033560753451425</v>
      </c>
      <c r="CZ12" s="111">
        <f t="shared" ref="CZ12" si="191">CZ9+CZ11</f>
        <v>-0.99370174740340167</v>
      </c>
      <c r="DA12" s="111">
        <f t="shared" ref="DA12" si="192">DA9+DA11</f>
        <v>-1.0934586656510892</v>
      </c>
      <c r="DB12" s="111">
        <f t="shared" ref="DB12" si="193">DB9+DB11</f>
        <v>-1.2</v>
      </c>
      <c r="DC12" s="111">
        <f t="shared" ref="DC12" si="194">DC9+DC11</f>
        <v>-1.3134586656510894</v>
      </c>
      <c r="DD12" s="111">
        <f t="shared" ref="DD12" si="195">DD9+DD11</f>
        <v>-1.4337017474034015</v>
      </c>
      <c r="DE12" s="111">
        <f t="shared" ref="DE12" si="196">DE9+DE11</f>
        <v>-1.5603356075345145</v>
      </c>
      <c r="DF12" s="111">
        <f t="shared" ref="DF12" si="197">DF9+DF11</f>
        <v>-1.6927210131479775</v>
      </c>
      <c r="DG12" s="111">
        <f t="shared" ref="DG12" si="198">DG9+DG11</f>
        <v>-1.8299977016495579</v>
      </c>
      <c r="DH12" s="111">
        <f t="shared" ref="DH12" si="199">DH9+DH11</f>
        <v>-1.9711174403104121</v>
      </c>
      <c r="DI12" s="111">
        <f t="shared" ref="DI12" si="200">DI9+DI11</f>
        <v>-2.1148843094507943</v>
      </c>
      <c r="DJ12" s="111">
        <f t="shared" ref="DJ12" si="201">DJ9+DJ11</f>
        <v>-2.2600006611769188</v>
      </c>
      <c r="DK12" s="111">
        <f t="shared" ref="DK12" si="202">DK9+DK11</f>
        <v>-2.37</v>
      </c>
      <c r="DL12" s="111">
        <f t="shared" ref="DL12" si="203">DL9+DL11</f>
        <v>-2.4800000000000004</v>
      </c>
      <c r="DM12" s="111">
        <f t="shared" ref="DM12" si="204">DM9+DM11</f>
        <v>-2.5900000000000003</v>
      </c>
      <c r="DN12" s="111">
        <f t="shared" ref="DN12" si="205">DN9+DN11</f>
        <v>-2.7</v>
      </c>
    </row>
    <row r="13" spans="1:124" s="114" customFormat="1" ht="2.1" customHeight="1">
      <c r="A13" s="114" t="s">
        <v>10</v>
      </c>
      <c r="B13" s="133">
        <f>$J4-($J4-$R4)/($B2-$J2)</f>
        <v>-49</v>
      </c>
      <c r="C13" s="133">
        <f t="shared" ref="C13:I13" si="206">$B13+($B13-$J13)/($B2-$J2)*(C2-$B2)</f>
        <v>-48.125</v>
      </c>
      <c r="D13" s="133">
        <f t="shared" si="206"/>
        <v>-47.25</v>
      </c>
      <c r="E13" s="133">
        <f t="shared" si="206"/>
        <v>-46.375</v>
      </c>
      <c r="F13" s="133">
        <f t="shared" si="206"/>
        <v>-45.5</v>
      </c>
      <c r="G13" s="133">
        <f t="shared" si="206"/>
        <v>-44.625</v>
      </c>
      <c r="H13" s="133">
        <f t="shared" si="206"/>
        <v>-43.75</v>
      </c>
      <c r="I13" s="133">
        <f t="shared" si="206"/>
        <v>-42.875</v>
      </c>
      <c r="J13" s="133">
        <f>J4</f>
        <v>-42</v>
      </c>
      <c r="K13" s="133">
        <f>K8</f>
        <v>-41.10730658199985</v>
      </c>
      <c r="L13" s="133">
        <f t="shared" ref="L13:Q13" si="207">L8</f>
        <v>-40.216691213349847</v>
      </c>
      <c r="M13" s="133">
        <f t="shared" si="207"/>
        <v>-39.329754002462593</v>
      </c>
      <c r="N13" s="133">
        <f t="shared" si="207"/>
        <v>-38.448152932708197</v>
      </c>
      <c r="O13" s="133">
        <f t="shared" si="207"/>
        <v>-37.573341129743653</v>
      </c>
      <c r="P13" s="133">
        <f t="shared" si="207"/>
        <v>-36.706511075132433</v>
      </c>
      <c r="Q13" s="133">
        <f t="shared" si="207"/>
        <v>-35.848548826249861</v>
      </c>
      <c r="R13" s="133">
        <f>(R12+R8)/2</f>
        <v>-35.000000459150641</v>
      </c>
      <c r="S13" s="133">
        <f t="shared" ref="S13:CD13" si="208">(S12+S8)/2</f>
        <v>-34.165513516910202</v>
      </c>
      <c r="T13" s="133">
        <f t="shared" si="208"/>
        <v>-33.336670426670665</v>
      </c>
      <c r="U13" s="133">
        <f t="shared" si="208"/>
        <v>-32.514099524350684</v>
      </c>
      <c r="V13" s="133">
        <f t="shared" si="208"/>
        <v>-31.698188281040196</v>
      </c>
      <c r="W13" s="133">
        <f t="shared" si="208"/>
        <v>-30.889068395352485</v>
      </c>
      <c r="X13" s="133">
        <f t="shared" si="208"/>
        <v>-30.086610709038396</v>
      </c>
      <c r="Y13" s="133">
        <f t="shared" si="208"/>
        <v>-29.290430142146519</v>
      </c>
      <c r="Z13" s="133">
        <f t="shared" si="208"/>
        <v>-28.499900459161161</v>
      </c>
      <c r="AA13" s="133">
        <f t="shared" si="208"/>
        <v>-27.73677685114659</v>
      </c>
      <c r="AB13" s="133">
        <f t="shared" si="208"/>
        <v>-26.978265102363473</v>
      </c>
      <c r="AC13" s="133">
        <f t="shared" si="208"/>
        <v>-26.224191394121192</v>
      </c>
      <c r="AD13" s="133">
        <f t="shared" si="208"/>
        <v>-25.474111814686097</v>
      </c>
      <c r="AE13" s="133">
        <f t="shared" si="208"/>
        <v>-24.727428959478857</v>
      </c>
      <c r="AF13" s="133">
        <f t="shared" si="208"/>
        <v>-23.983414889104452</v>
      </c>
      <c r="AG13" s="133">
        <f t="shared" si="208"/>
        <v>-23.241239103785276</v>
      </c>
      <c r="AH13" s="133">
        <f t="shared" si="208"/>
        <v>-22.500000459150638</v>
      </c>
      <c r="AI13" s="133">
        <f t="shared" si="208"/>
        <v>-21.749123910378529</v>
      </c>
      <c r="AJ13" s="133">
        <f t="shared" si="208"/>
        <v>-20.998341488910448</v>
      </c>
      <c r="AK13" s="133">
        <f t="shared" si="208"/>
        <v>-20.247742895947887</v>
      </c>
      <c r="AL13" s="133">
        <f t="shared" si="208"/>
        <v>-19.49741118146861</v>
      </c>
      <c r="AM13" s="133">
        <f t="shared" si="208"/>
        <v>-18.74741913941212</v>
      </c>
      <c r="AN13" s="133">
        <f t="shared" si="208"/>
        <v>-17.997826510236351</v>
      </c>
      <c r="AO13" s="133">
        <f t="shared" si="208"/>
        <v>-17.248677685114661</v>
      </c>
      <c r="AP13" s="133">
        <f t="shared" si="208"/>
        <v>-16.500001285621785</v>
      </c>
      <c r="AQ13" s="133">
        <f t="shared" si="208"/>
        <v>-15.730397175713426</v>
      </c>
      <c r="AR13" s="133">
        <f t="shared" si="208"/>
        <v>-14.963888199728816</v>
      </c>
      <c r="AS13" s="133">
        <f t="shared" si="208"/>
        <v>-14.202970225952928</v>
      </c>
      <c r="AT13" s="133">
        <f t="shared" si="208"/>
        <v>-13.449924262589679</v>
      </c>
      <c r="AU13" s="133">
        <f t="shared" si="208"/>
        <v>-12.70672879948722</v>
      </c>
      <c r="AV13" s="133">
        <f t="shared" si="208"/>
        <v>-11.974983775528173</v>
      </c>
      <c r="AW13" s="133">
        <f t="shared" si="208"/>
        <v>-11.25584909358898</v>
      </c>
      <c r="AX13" s="133">
        <f t="shared" si="208"/>
        <v>-10.550000045915064</v>
      </c>
      <c r="AY13" s="133">
        <f t="shared" si="208"/>
        <v>-9.9240751219165819</v>
      </c>
      <c r="AZ13" s="133">
        <f t="shared" si="208"/>
        <v>-9.3134965315579681</v>
      </c>
      <c r="BA13" s="133">
        <f t="shared" si="208"/>
        <v>-8.7195725103407113</v>
      </c>
      <c r="BB13" s="133">
        <f t="shared" si="208"/>
        <v>-8.1429702548990868</v>
      </c>
      <c r="BC13" s="133">
        <f t="shared" si="208"/>
        <v>-7.5836912930195455</v>
      </c>
      <c r="BD13" s="133">
        <f t="shared" si="208"/>
        <v>-7.0410714249284574</v>
      </c>
      <c r="BE13" s="133">
        <f t="shared" si="208"/>
        <v>-6.5138062482359231</v>
      </c>
      <c r="BF13" s="133">
        <f t="shared" si="208"/>
        <v>-6.0000012856217868</v>
      </c>
      <c r="BG13" s="133">
        <f t="shared" si="208"/>
        <v>-5.5165518897500325</v>
      </c>
      <c r="BH13" s="133">
        <f t="shared" si="208"/>
        <v>-5.0469373805702373</v>
      </c>
      <c r="BI13" s="133">
        <f t="shared" si="208"/>
        <v>-4.5934128768110885</v>
      </c>
      <c r="BJ13" s="133">
        <f t="shared" si="208"/>
        <v>-4.1576149807735252</v>
      </c>
      <c r="BK13" s="133">
        <f t="shared" si="208"/>
        <v>-3.7404990679891865</v>
      </c>
      <c r="BL13" s="133">
        <f t="shared" si="208"/>
        <v>-3.3423025725033559</v>
      </c>
      <c r="BM13" s="133">
        <f t="shared" si="208"/>
        <v>-2.9625358623752174</v>
      </c>
      <c r="BN13" s="133">
        <f t="shared" si="208"/>
        <v>-2.6000010560464673</v>
      </c>
      <c r="BO13" s="133">
        <f t="shared" si="208"/>
        <v>-2.3151641312396349</v>
      </c>
      <c r="BP13" s="133">
        <f t="shared" si="208"/>
        <v>-2.0472781057720204</v>
      </c>
      <c r="BQ13" s="133">
        <f t="shared" si="208"/>
        <v>-1.7972703801455288</v>
      </c>
      <c r="BR13" s="133">
        <f t="shared" si="208"/>
        <v>-1.5653814363676966</v>
      </c>
      <c r="BS13" s="133">
        <f t="shared" si="208"/>
        <v>-1.3511554585747314</v>
      </c>
      <c r="BT13" s="133">
        <f t="shared" si="208"/>
        <v>-1.153457849861196</v>
      </c>
      <c r="BU13" s="133">
        <f t="shared" si="208"/>
        <v>-0.97051883440605557</v>
      </c>
      <c r="BV13" s="133">
        <f t="shared" si="208"/>
        <v>-0.80000146928204141</v>
      </c>
      <c r="BW13" s="133">
        <f t="shared" si="208"/>
        <v>-0.65778408910667241</v>
      </c>
      <c r="BX13" s="133">
        <f t="shared" si="208"/>
        <v>-0.52667700511496185</v>
      </c>
      <c r="BY13" s="133">
        <f t="shared" si="208"/>
        <v>-0.40775491530432828</v>
      </c>
      <c r="BZ13" s="133">
        <f t="shared" si="208"/>
        <v>-0.30162489580716273</v>
      </c>
      <c r="CA13" s="133">
        <f t="shared" si="208"/>
        <v>-0.20840242837586198</v>
      </c>
      <c r="CB13" s="133">
        <f t="shared" si="208"/>
        <v>-0.12770696246315788</v>
      </c>
      <c r="CC13" s="133">
        <f t="shared" si="208"/>
        <v>-5.867653963440915E-2</v>
      </c>
      <c r="CD13" s="133">
        <f t="shared" si="208"/>
        <v>-9.1830127583663713E-7</v>
      </c>
      <c r="CE13" s="133">
        <f t="shared" ref="CE13:DB13" si="209">(CE12+CE8)/2</f>
        <v>1.6609693336182365E-2</v>
      </c>
      <c r="CF13" s="133">
        <f t="shared" si="209"/>
        <v>2.4115451740794297E-2</v>
      </c>
      <c r="CG13" s="133">
        <f t="shared" si="209"/>
        <v>2.2529289843079947E-2</v>
      </c>
      <c r="CH13" s="133">
        <f t="shared" si="209"/>
        <v>1.2152853752568124E-2</v>
      </c>
      <c r="CI13" s="133">
        <f t="shared" si="209"/>
        <v>-6.3744659850439381E-3</v>
      </c>
      <c r="CJ13" s="133">
        <f t="shared" si="209"/>
        <v>-3.2100122927744681E-2</v>
      </c>
      <c r="CK13" s="133">
        <f t="shared" si="209"/>
        <v>-6.3795034688450797E-2</v>
      </c>
      <c r="CL13" s="133">
        <f t="shared" si="209"/>
        <v>-0.10000082647114826</v>
      </c>
      <c r="CM13" s="133">
        <f t="shared" si="209"/>
        <v>-0.13680811014612243</v>
      </c>
      <c r="CN13" s="133">
        <f t="shared" si="209"/>
        <v>-0.1770022560024013</v>
      </c>
      <c r="CO13" s="133">
        <f t="shared" si="209"/>
        <v>-0.22095971461041253</v>
      </c>
      <c r="CP13" s="133">
        <f t="shared" si="209"/>
        <v>-0.26891296862411734</v>
      </c>
      <c r="CQ13" s="133">
        <f t="shared" si="209"/>
        <v>-0.32094103721149148</v>
      </c>
      <c r="CR13" s="133">
        <f t="shared" si="209"/>
        <v>-0.37696642542303771</v>
      </c>
      <c r="CS13" s="133">
        <f t="shared" si="209"/>
        <v>-0.43675808528790983</v>
      </c>
      <c r="CT13" s="133">
        <f t="shared" si="209"/>
        <v>-0.49994027549669501</v>
      </c>
      <c r="CU13" s="133">
        <f t="shared" si="209"/>
        <v>-0.5732582654133509</v>
      </c>
      <c r="CV13" s="133">
        <f t="shared" si="209"/>
        <v>-0.65001778157328993</v>
      </c>
      <c r="CW13" s="133">
        <f t="shared" si="209"/>
        <v>-0.73076368729749319</v>
      </c>
      <c r="CX13" s="133">
        <f t="shared" si="209"/>
        <v>-0.81582759538564598</v>
      </c>
      <c r="CY13" s="133">
        <f t="shared" si="209"/>
        <v>-0.9053751794545728</v>
      </c>
      <c r="CZ13" s="133">
        <f t="shared" si="209"/>
        <v>-0.9993998071643726</v>
      </c>
      <c r="DA13" s="133">
        <f t="shared" si="209"/>
        <v>-1.0977227950967088</v>
      </c>
      <c r="DB13" s="133">
        <f t="shared" si="209"/>
        <v>-1.2000002754903827</v>
      </c>
      <c r="DC13" s="133">
        <f>DC12</f>
        <v>-1.3134586656510894</v>
      </c>
      <c r="DD13" s="133">
        <f t="shared" ref="DD13:DM13" si="210">DD12</f>
        <v>-1.4337017474034015</v>
      </c>
      <c r="DE13" s="133">
        <f t="shared" si="210"/>
        <v>-1.5603356075345145</v>
      </c>
      <c r="DF13" s="133">
        <f t="shared" si="210"/>
        <v>-1.6927210131479775</v>
      </c>
      <c r="DG13" s="133">
        <f t="shared" si="210"/>
        <v>-1.8299977016495579</v>
      </c>
      <c r="DH13" s="133">
        <f t="shared" si="210"/>
        <v>-1.9711174403104121</v>
      </c>
      <c r="DI13" s="133">
        <f t="shared" si="210"/>
        <v>-2.1148843094507943</v>
      </c>
      <c r="DJ13" s="133">
        <f t="shared" si="210"/>
        <v>-2.2600006611769188</v>
      </c>
      <c r="DK13" s="133">
        <f t="shared" si="210"/>
        <v>-2.37</v>
      </c>
      <c r="DL13" s="133">
        <f t="shared" si="210"/>
        <v>-2.4800000000000004</v>
      </c>
      <c r="DM13" s="133">
        <f t="shared" si="210"/>
        <v>-2.5900000000000003</v>
      </c>
      <c r="DN13" s="133">
        <f>DN4</f>
        <v>-2.7</v>
      </c>
      <c r="DO13" s="133">
        <f t="shared" ref="DO13:DT13" si="211">DO4</f>
        <v>-5</v>
      </c>
      <c r="DP13" s="133">
        <f t="shared" si="211"/>
        <v>-7.5</v>
      </c>
      <c r="DQ13" s="133">
        <f t="shared" si="211"/>
        <v>-8.75</v>
      </c>
      <c r="DR13" s="133">
        <f t="shared" si="211"/>
        <v>-9.5</v>
      </c>
      <c r="DS13" s="133">
        <f t="shared" si="211"/>
        <v>-10.5</v>
      </c>
      <c r="DT13" s="133">
        <f t="shared" si="211"/>
        <v>-13.2</v>
      </c>
    </row>
    <row r="14" spans="1:124" s="161" customFormat="1" ht="2.1" customHeight="1">
      <c r="B14" s="157"/>
      <c r="C14" s="166"/>
      <c r="D14" s="166"/>
      <c r="E14" s="166"/>
      <c r="F14" s="166"/>
      <c r="G14" s="166"/>
      <c r="H14" s="166"/>
      <c r="I14" s="166"/>
      <c r="J14" s="166"/>
      <c r="K14" s="166"/>
      <c r="L14" s="166"/>
      <c r="M14" s="166"/>
      <c r="N14" s="166"/>
      <c r="O14" s="166"/>
      <c r="P14" s="166"/>
      <c r="Q14" s="166"/>
      <c r="R14" s="166"/>
      <c r="S14" s="166"/>
      <c r="T14" s="166"/>
      <c r="U14" s="166"/>
    </row>
    <row r="15" spans="1:124" s="161" customFormat="1" ht="2.1" customHeight="1">
      <c r="B15" s="157"/>
      <c r="C15" s="166"/>
      <c r="D15" s="166"/>
      <c r="E15" s="166"/>
      <c r="F15" s="166"/>
      <c r="G15" s="166"/>
      <c r="H15" s="166"/>
      <c r="I15" s="166"/>
      <c r="J15" s="166"/>
      <c r="K15" s="166"/>
      <c r="L15" s="166"/>
      <c r="M15" s="166"/>
      <c r="N15" s="166"/>
      <c r="O15" s="166"/>
      <c r="P15" s="166"/>
      <c r="Q15" s="166"/>
      <c r="R15" s="166"/>
      <c r="S15" s="166"/>
      <c r="T15" s="166"/>
      <c r="U15" s="166"/>
    </row>
    <row r="16" spans="1:124" s="161" customFormat="1" ht="2.1" customHeight="1">
      <c r="A16" s="167" t="s">
        <v>0</v>
      </c>
      <c r="B16" s="159">
        <v>-6</v>
      </c>
      <c r="C16" s="159">
        <v>-5</v>
      </c>
      <c r="D16" s="159">
        <v>-4</v>
      </c>
      <c r="E16" s="159">
        <v>-3</v>
      </c>
      <c r="F16" s="159">
        <v>-2</v>
      </c>
      <c r="G16" s="159">
        <v>-1</v>
      </c>
      <c r="H16" s="159">
        <v>0</v>
      </c>
      <c r="I16" s="159">
        <v>1</v>
      </c>
      <c r="J16" s="159">
        <v>2</v>
      </c>
      <c r="K16" s="159">
        <v>3</v>
      </c>
      <c r="L16" s="159">
        <v>4</v>
      </c>
      <c r="M16" s="159">
        <v>5</v>
      </c>
      <c r="N16" s="159">
        <v>6</v>
      </c>
      <c r="O16" s="159">
        <v>7.5</v>
      </c>
      <c r="P16" s="159">
        <v>10</v>
      </c>
      <c r="Q16" s="159">
        <v>15</v>
      </c>
      <c r="R16" s="159">
        <v>20</v>
      </c>
      <c r="S16" s="159">
        <v>25</v>
      </c>
      <c r="T16" s="159">
        <v>30</v>
      </c>
      <c r="U16" s="159">
        <v>45</v>
      </c>
    </row>
    <row r="17" spans="1:118" s="161" customFormat="1" ht="2.1" customHeight="1">
      <c r="A17" s="167" t="s">
        <v>73</v>
      </c>
      <c r="B17" s="159">
        <f>C53*$B53+C54*$B54+C55*$B55+C56*$B56+C57*$B57+C58*$B58+C59*$B59+C60*$B60+C61*$B61</f>
        <v>-42</v>
      </c>
      <c r="C17" s="159">
        <f t="shared" ref="C17:U17" si="212">D53*$B53+D54*$B54+D55*$B55+D56*$B56+D57*$B57+D58*$B58+D59*$B59+D60*$B60+D61*$B61</f>
        <v>-35.000000459150641</v>
      </c>
      <c r="D17" s="159">
        <f t="shared" si="212"/>
        <v>-28.499900459161161</v>
      </c>
      <c r="E17" s="159">
        <f t="shared" si="212"/>
        <v>-22.500000459150638</v>
      </c>
      <c r="F17" s="159">
        <f t="shared" si="212"/>
        <v>-16.500001285621785</v>
      </c>
      <c r="G17" s="159">
        <f t="shared" si="212"/>
        <v>-10.550000045915064</v>
      </c>
      <c r="H17" s="159">
        <f t="shared" si="212"/>
        <v>-6.0000012856217868</v>
      </c>
      <c r="I17" s="159">
        <f t="shared" si="212"/>
        <v>-2.6000010560464673</v>
      </c>
      <c r="J17" s="159">
        <f t="shared" si="212"/>
        <v>-0.80000146928204141</v>
      </c>
      <c r="K17" s="159">
        <f t="shared" si="212"/>
        <v>-9.1830127583663713E-7</v>
      </c>
      <c r="L17" s="159">
        <f t="shared" si="212"/>
        <v>-0.10000082647114826</v>
      </c>
      <c r="M17" s="159">
        <f t="shared" si="212"/>
        <v>-0.49994027549669501</v>
      </c>
      <c r="N17" s="159">
        <f t="shared" si="212"/>
        <v>-1.2000002754903827</v>
      </c>
      <c r="O17" s="159">
        <f t="shared" si="212"/>
        <v>-2.7</v>
      </c>
      <c r="P17" s="159">
        <f t="shared" si="212"/>
        <v>-5</v>
      </c>
      <c r="Q17" s="159">
        <f t="shared" si="212"/>
        <v>-7.5</v>
      </c>
      <c r="R17" s="159">
        <f t="shared" si="212"/>
        <v>-8.75</v>
      </c>
      <c r="S17" s="159">
        <f t="shared" si="212"/>
        <v>-9.5</v>
      </c>
      <c r="T17" s="159">
        <f t="shared" si="212"/>
        <v>-10.5</v>
      </c>
      <c r="U17" s="159">
        <f t="shared" si="212"/>
        <v>-13.2</v>
      </c>
    </row>
    <row r="18" spans="1:118" s="161" customFormat="1" ht="2.1" customHeight="1">
      <c r="A18" s="168"/>
      <c r="B18" s="159">
        <f t="shared" ref="B18:U18" si="213">IF($A$32="Oui",1,0)</f>
        <v>0</v>
      </c>
      <c r="C18" s="159">
        <f t="shared" si="213"/>
        <v>0</v>
      </c>
      <c r="D18" s="159">
        <f t="shared" si="213"/>
        <v>0</v>
      </c>
      <c r="E18" s="159">
        <f t="shared" si="213"/>
        <v>0</v>
      </c>
      <c r="F18" s="159">
        <f t="shared" si="213"/>
        <v>0</v>
      </c>
      <c r="G18" s="159">
        <f t="shared" si="213"/>
        <v>0</v>
      </c>
      <c r="H18" s="159">
        <f t="shared" si="213"/>
        <v>0</v>
      </c>
      <c r="I18" s="159">
        <f t="shared" si="213"/>
        <v>0</v>
      </c>
      <c r="J18" s="159">
        <f t="shared" si="213"/>
        <v>0</v>
      </c>
      <c r="K18" s="159">
        <f t="shared" si="213"/>
        <v>0</v>
      </c>
      <c r="L18" s="159">
        <f t="shared" si="213"/>
        <v>0</v>
      </c>
      <c r="M18" s="159">
        <f t="shared" si="213"/>
        <v>0</v>
      </c>
      <c r="N18" s="159">
        <f t="shared" si="213"/>
        <v>0</v>
      </c>
      <c r="O18" s="159">
        <f t="shared" si="213"/>
        <v>0</v>
      </c>
      <c r="P18" s="159">
        <f t="shared" si="213"/>
        <v>0</v>
      </c>
      <c r="Q18" s="159">
        <f t="shared" si="213"/>
        <v>0</v>
      </c>
      <c r="R18" s="159">
        <f t="shared" si="213"/>
        <v>0</v>
      </c>
      <c r="S18" s="159">
        <f t="shared" si="213"/>
        <v>0</v>
      </c>
      <c r="T18" s="159">
        <f t="shared" si="213"/>
        <v>0</v>
      </c>
      <c r="U18" s="159">
        <f t="shared" si="213"/>
        <v>0</v>
      </c>
    </row>
    <row r="19" spans="1:118" s="161" customFormat="1" ht="2.1" customHeight="1">
      <c r="A19" s="168" t="s">
        <v>2</v>
      </c>
      <c r="B19" s="159">
        <f>B17*B18</f>
        <v>0</v>
      </c>
      <c r="C19" s="159">
        <f t="shared" ref="C19:U19" si="214">C17*C18</f>
        <v>0</v>
      </c>
      <c r="D19" s="159">
        <f t="shared" si="214"/>
        <v>0</v>
      </c>
      <c r="E19" s="159">
        <f t="shared" si="214"/>
        <v>0</v>
      </c>
      <c r="F19" s="159">
        <f t="shared" si="214"/>
        <v>0</v>
      </c>
      <c r="G19" s="159">
        <f t="shared" si="214"/>
        <v>0</v>
      </c>
      <c r="H19" s="159">
        <f t="shared" si="214"/>
        <v>0</v>
      </c>
      <c r="I19" s="159">
        <f t="shared" si="214"/>
        <v>0</v>
      </c>
      <c r="J19" s="159">
        <f t="shared" si="214"/>
        <v>0</v>
      </c>
      <c r="K19" s="159">
        <f t="shared" si="214"/>
        <v>0</v>
      </c>
      <c r="L19" s="159">
        <f t="shared" si="214"/>
        <v>0</v>
      </c>
      <c r="M19" s="159">
        <f t="shared" si="214"/>
        <v>0</v>
      </c>
      <c r="N19" s="159">
        <f t="shared" si="214"/>
        <v>0</v>
      </c>
      <c r="O19" s="159">
        <f t="shared" si="214"/>
        <v>0</v>
      </c>
      <c r="P19" s="159">
        <f t="shared" si="214"/>
        <v>0</v>
      </c>
      <c r="Q19" s="159">
        <f t="shared" si="214"/>
        <v>0</v>
      </c>
      <c r="R19" s="159">
        <f t="shared" si="214"/>
        <v>0</v>
      </c>
      <c r="S19" s="159">
        <f t="shared" si="214"/>
        <v>0</v>
      </c>
      <c r="T19" s="159">
        <f t="shared" si="214"/>
        <v>0</v>
      </c>
      <c r="U19" s="159">
        <f t="shared" si="214"/>
        <v>0</v>
      </c>
    </row>
    <row r="20" spans="1:118" s="130" customFormat="1" ht="12" customHeight="1">
      <c r="B20" s="129"/>
      <c r="C20" s="131"/>
      <c r="D20" s="131"/>
      <c r="E20" s="131"/>
      <c r="F20" s="131"/>
      <c r="G20" s="131"/>
      <c r="H20" s="131"/>
      <c r="I20" s="131"/>
      <c r="J20" s="134"/>
      <c r="K20" s="131"/>
      <c r="L20" s="131"/>
      <c r="M20" s="131"/>
      <c r="N20" s="131"/>
      <c r="O20" s="131"/>
      <c r="P20" s="131"/>
      <c r="Q20" s="131"/>
      <c r="R20" s="143"/>
      <c r="S20" s="131"/>
      <c r="T20" s="131"/>
      <c r="U20" s="131"/>
      <c r="Z20" s="137"/>
      <c r="AH20" s="140"/>
      <c r="AP20" s="137"/>
      <c r="AX20" s="140"/>
      <c r="BF20" s="137"/>
      <c r="BN20" s="140"/>
      <c r="BV20" s="137"/>
      <c r="CD20" s="140"/>
      <c r="CL20" s="137"/>
      <c r="CT20" s="140"/>
      <c r="DB20" s="137"/>
      <c r="DN20" s="140"/>
    </row>
    <row r="21" spans="1:118" s="126" customFormat="1" ht="12" customHeight="1">
      <c r="B21" s="127"/>
      <c r="C21" s="128"/>
      <c r="D21" s="128"/>
      <c r="E21" s="128"/>
      <c r="F21" s="128"/>
      <c r="G21" s="128"/>
      <c r="H21" s="128"/>
      <c r="I21" s="128"/>
      <c r="J21" s="135"/>
      <c r="K21" s="128"/>
      <c r="L21" s="128"/>
      <c r="M21" s="128"/>
      <c r="N21" s="128"/>
      <c r="O21" s="128"/>
      <c r="P21" s="128"/>
      <c r="Q21" s="128"/>
      <c r="R21" s="144"/>
      <c r="S21" s="128"/>
      <c r="T21" s="128"/>
      <c r="U21" s="128"/>
      <c r="Z21" s="138"/>
      <c r="AH21" s="141"/>
      <c r="AP21" s="138"/>
      <c r="AX21" s="141"/>
      <c r="BF21" s="138"/>
      <c r="BN21" s="141"/>
      <c r="BV21" s="138"/>
      <c r="CD21" s="141"/>
      <c r="CL21" s="138"/>
      <c r="CT21" s="141"/>
      <c r="DB21" s="138"/>
      <c r="DN21" s="141"/>
    </row>
    <row r="22" spans="1:118">
      <c r="A22" s="212"/>
      <c r="B22" s="212"/>
    </row>
    <row r="25" spans="1:118">
      <c r="A25" s="85"/>
    </row>
    <row r="26" spans="1:118" ht="15">
      <c r="A26" s="86" t="s">
        <v>55</v>
      </c>
    </row>
    <row r="27" spans="1:118" ht="15">
      <c r="A27" s="86" t="s">
        <v>56</v>
      </c>
    </row>
    <row r="32" spans="1:118" ht="15.75">
      <c r="A32" s="125" t="s">
        <v>56</v>
      </c>
      <c r="B32" s="87"/>
    </row>
    <row r="34" spans="1:118">
      <c r="A34" s="88"/>
      <c r="B34" s="84"/>
    </row>
    <row r="45" spans="1:118" s="89" customFormat="1" ht="22.5" customHeight="1">
      <c r="C45" s="87"/>
      <c r="D45" s="87"/>
      <c r="E45" s="87"/>
      <c r="F45" s="87"/>
      <c r="G45" s="87"/>
      <c r="H45" s="87"/>
      <c r="I45" s="87"/>
      <c r="J45" s="136"/>
      <c r="K45" s="87"/>
      <c r="L45" s="87"/>
      <c r="M45" s="87"/>
      <c r="N45" s="87"/>
      <c r="O45" s="87"/>
      <c r="P45" s="87"/>
      <c r="Q45" s="87"/>
      <c r="R45" s="145"/>
      <c r="S45" s="87"/>
      <c r="T45" s="87"/>
      <c r="U45" s="87"/>
      <c r="Z45" s="139"/>
      <c r="AH45" s="142"/>
      <c r="AP45" s="139"/>
      <c r="AX45" s="142"/>
      <c r="BF45" s="139"/>
      <c r="BN45" s="142"/>
      <c r="BV45" s="139"/>
      <c r="CD45" s="142"/>
      <c r="CL45" s="139"/>
      <c r="CT45" s="142"/>
      <c r="DB45" s="139"/>
      <c r="DN45" s="142"/>
    </row>
    <row r="47" spans="1:118">
      <c r="B47" s="84"/>
    </row>
    <row r="49" spans="1:118" ht="19.5" customHeight="1">
      <c r="A49" s="210" t="s">
        <v>60</v>
      </c>
      <c r="B49" s="211"/>
      <c r="C49" s="90">
        <v>-6</v>
      </c>
      <c r="D49" s="90">
        <v>-5</v>
      </c>
      <c r="E49" s="90">
        <v>-4</v>
      </c>
      <c r="F49" s="90">
        <v>-3</v>
      </c>
      <c r="G49" s="90">
        <v>-2</v>
      </c>
      <c r="H49" s="90">
        <v>-1</v>
      </c>
      <c r="I49" s="90">
        <v>0</v>
      </c>
      <c r="J49" s="148">
        <v>1</v>
      </c>
      <c r="K49" s="90">
        <v>2</v>
      </c>
      <c r="L49" s="90">
        <v>3</v>
      </c>
      <c r="M49" s="90">
        <v>4</v>
      </c>
      <c r="N49" s="90">
        <v>5</v>
      </c>
      <c r="O49" s="90">
        <v>6</v>
      </c>
      <c r="P49" s="90">
        <v>7.5</v>
      </c>
      <c r="Q49" s="90">
        <v>10</v>
      </c>
      <c r="R49" s="146">
        <v>15</v>
      </c>
      <c r="S49" s="90">
        <v>20</v>
      </c>
      <c r="T49" s="90">
        <v>25</v>
      </c>
      <c r="U49" s="90">
        <v>30</v>
      </c>
      <c r="V49" s="90">
        <v>45</v>
      </c>
    </row>
    <row r="50" spans="1:118" ht="19.5" customHeight="1">
      <c r="A50" s="210" t="s">
        <v>61</v>
      </c>
      <c r="B50" s="211"/>
      <c r="C50" s="81">
        <v>-42</v>
      </c>
      <c r="D50" s="81">
        <v>-35</v>
      </c>
      <c r="E50" s="81">
        <v>-28.5</v>
      </c>
      <c r="F50" s="81">
        <v>-22.5</v>
      </c>
      <c r="G50" s="81">
        <v>-16.5</v>
      </c>
      <c r="H50" s="81">
        <v>-10.55</v>
      </c>
      <c r="I50" s="81">
        <v>-6</v>
      </c>
      <c r="J50" s="147">
        <v>-2.6</v>
      </c>
      <c r="K50" s="81">
        <v>-0.8</v>
      </c>
      <c r="L50" s="81">
        <v>0</v>
      </c>
      <c r="M50" s="81">
        <v>-0.1</v>
      </c>
      <c r="N50" s="81">
        <v>-0.5</v>
      </c>
      <c r="O50" s="81">
        <v>-1.2</v>
      </c>
      <c r="P50" s="81">
        <v>-2.7</v>
      </c>
      <c r="Q50" s="81">
        <v>-5</v>
      </c>
      <c r="R50" s="147">
        <v>-7.5</v>
      </c>
      <c r="S50" s="81">
        <v>-8.75</v>
      </c>
      <c r="T50" s="81">
        <v>-9.5</v>
      </c>
      <c r="U50" s="81">
        <v>-10.5</v>
      </c>
      <c r="V50" s="81">
        <v>-13.2</v>
      </c>
    </row>
    <row r="51" spans="1:118" s="126" customFormat="1" ht="12" customHeight="1">
      <c r="B51" s="127"/>
      <c r="C51" s="128"/>
      <c r="D51" s="128"/>
      <c r="E51" s="128"/>
      <c r="F51" s="128"/>
      <c r="G51" s="128"/>
      <c r="H51" s="128"/>
      <c r="I51" s="128"/>
      <c r="J51" s="135"/>
      <c r="K51" s="128"/>
      <c r="L51" s="128"/>
      <c r="M51" s="128"/>
      <c r="N51" s="128"/>
      <c r="O51" s="128"/>
      <c r="P51" s="128"/>
      <c r="Q51" s="128"/>
      <c r="R51" s="144"/>
      <c r="S51" s="128"/>
      <c r="T51" s="128"/>
      <c r="U51" s="128"/>
      <c r="Z51" s="138"/>
      <c r="AH51" s="141"/>
      <c r="AP51" s="138"/>
      <c r="AX51" s="141"/>
      <c r="BF51" s="138"/>
      <c r="BN51" s="141"/>
      <c r="BV51" s="138"/>
      <c r="CD51" s="141"/>
      <c r="CL51" s="138"/>
      <c r="CT51" s="141"/>
      <c r="DB51" s="138"/>
      <c r="DN51" s="141"/>
    </row>
    <row r="52" spans="1:118" s="161" customFormat="1" ht="2.1" customHeight="1">
      <c r="A52" s="157" t="s">
        <v>62</v>
      </c>
      <c r="B52" s="158"/>
      <c r="C52" s="159">
        <v>-6</v>
      </c>
      <c r="D52" s="159">
        <v>-5</v>
      </c>
      <c r="E52" s="159">
        <v>-4</v>
      </c>
      <c r="F52" s="159">
        <v>-3</v>
      </c>
      <c r="G52" s="159">
        <v>-2</v>
      </c>
      <c r="H52" s="159">
        <v>-1</v>
      </c>
      <c r="I52" s="160">
        <v>0</v>
      </c>
      <c r="J52" s="159">
        <v>1</v>
      </c>
      <c r="K52" s="159">
        <v>2</v>
      </c>
      <c r="L52" s="159">
        <v>3</v>
      </c>
      <c r="M52" s="159">
        <v>4</v>
      </c>
      <c r="N52" s="159">
        <v>5</v>
      </c>
      <c r="O52" s="159">
        <v>6</v>
      </c>
      <c r="P52" s="159">
        <v>7.5</v>
      </c>
      <c r="Q52" s="159">
        <v>10</v>
      </c>
      <c r="R52" s="159">
        <v>15</v>
      </c>
      <c r="S52" s="159">
        <v>20</v>
      </c>
      <c r="T52" s="159">
        <v>25</v>
      </c>
      <c r="U52" s="159">
        <v>30</v>
      </c>
      <c r="V52" s="159">
        <v>45</v>
      </c>
    </row>
    <row r="53" spans="1:118" s="161" customFormat="1" ht="2.1" customHeight="1">
      <c r="A53" s="162">
        <v>1</v>
      </c>
      <c r="B53" s="158">
        <f>IF('Effet de sol'!$BF$29=A53,1,0)</f>
        <v>0</v>
      </c>
      <c r="C53" s="163">
        <f>B13</f>
        <v>-49</v>
      </c>
      <c r="D53" s="163">
        <f>J13</f>
        <v>-42</v>
      </c>
      <c r="E53" s="163">
        <f>R13</f>
        <v>-35.000000459150641</v>
      </c>
      <c r="F53" s="163">
        <f>Z13</f>
        <v>-28.499900459161161</v>
      </c>
      <c r="G53" s="163">
        <f>AH13</f>
        <v>-22.500000459150638</v>
      </c>
      <c r="H53" s="163">
        <f>AP13</f>
        <v>-16.500001285621785</v>
      </c>
      <c r="I53" s="164">
        <f>AX13</f>
        <v>-10.550000045915064</v>
      </c>
      <c r="J53" s="163">
        <f>BF13</f>
        <v>-6.0000012856217868</v>
      </c>
      <c r="K53" s="163">
        <f>BN13</f>
        <v>-2.6000010560464673</v>
      </c>
      <c r="L53" s="163">
        <f>BV13</f>
        <v>-0.80000146928204141</v>
      </c>
      <c r="M53" s="163">
        <f>CD13</f>
        <v>-9.1830127583663713E-7</v>
      </c>
      <c r="N53" s="163">
        <f>CL13</f>
        <v>-0.10000082647114826</v>
      </c>
      <c r="O53" s="163">
        <f>CT13</f>
        <v>-0.49994027549669501</v>
      </c>
      <c r="P53" s="163">
        <f>DN13+0.8</f>
        <v>-1.9000000000000001</v>
      </c>
      <c r="Q53" s="163">
        <f t="shared" ref="Q53:V53" si="215">DO13</f>
        <v>-5</v>
      </c>
      <c r="R53" s="163">
        <f t="shared" si="215"/>
        <v>-7.5</v>
      </c>
      <c r="S53" s="163">
        <f t="shared" si="215"/>
        <v>-8.75</v>
      </c>
      <c r="T53" s="163">
        <f t="shared" si="215"/>
        <v>-9.5</v>
      </c>
      <c r="U53" s="163">
        <f t="shared" si="215"/>
        <v>-10.5</v>
      </c>
      <c r="V53" s="163">
        <f t="shared" si="215"/>
        <v>-13.2</v>
      </c>
    </row>
    <row r="54" spans="1:118" s="161" customFormat="1" ht="2.1" customHeight="1">
      <c r="A54" s="162">
        <f>A53-0.25</f>
        <v>0.75</v>
      </c>
      <c r="B54" s="158">
        <f>IF('Effet de sol'!$BF$29=A54,1,0)</f>
        <v>0</v>
      </c>
      <c r="C54" s="163">
        <f>D13</f>
        <v>-47.25</v>
      </c>
      <c r="D54" s="163">
        <f>L13</f>
        <v>-40.216691213349847</v>
      </c>
      <c r="E54" s="163">
        <f>T13</f>
        <v>-33.336670426670665</v>
      </c>
      <c r="F54" s="163">
        <f>AB13</f>
        <v>-26.978265102363473</v>
      </c>
      <c r="G54" s="163">
        <f>AJ13</f>
        <v>-20.998341488910448</v>
      </c>
      <c r="H54" s="163">
        <f>AR13</f>
        <v>-14.963888199728816</v>
      </c>
      <c r="I54" s="164">
        <f>AZ13</f>
        <v>-9.3134965315579681</v>
      </c>
      <c r="J54" s="163">
        <f>BH13</f>
        <v>-5.0469373805702373</v>
      </c>
      <c r="K54" s="163">
        <f>BP13</f>
        <v>-2.0472781057720204</v>
      </c>
      <c r="L54" s="163">
        <f>BX13</f>
        <v>-0.52667700511496185</v>
      </c>
      <c r="M54" s="163">
        <f>CF13</f>
        <v>2.4115451740794297E-2</v>
      </c>
      <c r="N54" s="163">
        <f>CN13</f>
        <v>-0.1770022560024013</v>
      </c>
      <c r="O54" s="163">
        <f>CV13</f>
        <v>-0.65001778157328993</v>
      </c>
      <c r="P54" s="163">
        <f>DN13+0.6</f>
        <v>-2.1</v>
      </c>
      <c r="Q54" s="163">
        <f t="shared" ref="Q54:V54" si="216">DO13</f>
        <v>-5</v>
      </c>
      <c r="R54" s="163">
        <f t="shared" si="216"/>
        <v>-7.5</v>
      </c>
      <c r="S54" s="163">
        <f t="shared" si="216"/>
        <v>-8.75</v>
      </c>
      <c r="T54" s="163">
        <f t="shared" si="216"/>
        <v>-9.5</v>
      </c>
      <c r="U54" s="163">
        <f t="shared" si="216"/>
        <v>-10.5</v>
      </c>
      <c r="V54" s="163">
        <f t="shared" si="216"/>
        <v>-13.2</v>
      </c>
    </row>
    <row r="55" spans="1:118" s="161" customFormat="1" ht="2.1" customHeight="1">
      <c r="A55" s="162">
        <f t="shared" ref="A55:A61" si="217">A54-0.25</f>
        <v>0.5</v>
      </c>
      <c r="B55" s="158">
        <f>IF('Effet de sol'!$BF$29=A55,1,0)</f>
        <v>0</v>
      </c>
      <c r="C55" s="163">
        <f>F13</f>
        <v>-45.5</v>
      </c>
      <c r="D55" s="163">
        <f>N13</f>
        <v>-38.448152932708197</v>
      </c>
      <c r="E55" s="163">
        <f>V13</f>
        <v>-31.698188281040196</v>
      </c>
      <c r="F55" s="163">
        <f>AD13</f>
        <v>-25.474111814686097</v>
      </c>
      <c r="G55" s="163">
        <f>AL13</f>
        <v>-19.49741118146861</v>
      </c>
      <c r="H55" s="163">
        <f>AT13</f>
        <v>-13.449924262589679</v>
      </c>
      <c r="I55" s="164">
        <f>BB13</f>
        <v>-8.1429702548990868</v>
      </c>
      <c r="J55" s="163">
        <f>BJ13</f>
        <v>-4.1576149807735252</v>
      </c>
      <c r="K55" s="163">
        <f>BR13</f>
        <v>-1.5653814363676966</v>
      </c>
      <c r="L55" s="163">
        <f>BZ13</f>
        <v>-0.30162489580716273</v>
      </c>
      <c r="M55" s="163">
        <f>CH13</f>
        <v>1.2152853752568124E-2</v>
      </c>
      <c r="N55" s="163">
        <f>CP13</f>
        <v>-0.26891296862411734</v>
      </c>
      <c r="O55" s="163">
        <f>CX13</f>
        <v>-0.81582759538564598</v>
      </c>
      <c r="P55" s="163">
        <f>DN13+0.4</f>
        <v>-2.3000000000000003</v>
      </c>
      <c r="Q55" s="163">
        <f t="shared" ref="Q55:V55" si="218">DO13</f>
        <v>-5</v>
      </c>
      <c r="R55" s="163">
        <f t="shared" si="218"/>
        <v>-7.5</v>
      </c>
      <c r="S55" s="163">
        <f t="shared" si="218"/>
        <v>-8.75</v>
      </c>
      <c r="T55" s="163">
        <f t="shared" si="218"/>
        <v>-9.5</v>
      </c>
      <c r="U55" s="163">
        <f t="shared" si="218"/>
        <v>-10.5</v>
      </c>
      <c r="V55" s="163">
        <f t="shared" si="218"/>
        <v>-13.2</v>
      </c>
    </row>
    <row r="56" spans="1:118" s="161" customFormat="1" ht="2.1" customHeight="1">
      <c r="A56" s="162">
        <f t="shared" si="217"/>
        <v>0.25</v>
      </c>
      <c r="B56" s="158">
        <f>IF('Effet de sol'!$BF$29=A56,1,0)</f>
        <v>0</v>
      </c>
      <c r="C56" s="163">
        <f>H13</f>
        <v>-43.75</v>
      </c>
      <c r="D56" s="163">
        <f>P13</f>
        <v>-36.706511075132433</v>
      </c>
      <c r="E56" s="163">
        <f>X13</f>
        <v>-30.086610709038396</v>
      </c>
      <c r="F56" s="163">
        <f>AF13</f>
        <v>-23.983414889104452</v>
      </c>
      <c r="G56" s="163">
        <f>AN13</f>
        <v>-17.997826510236351</v>
      </c>
      <c r="H56" s="163">
        <f>AV13</f>
        <v>-11.974983775528173</v>
      </c>
      <c r="I56" s="164">
        <f>BD13</f>
        <v>-7.0410714249284574</v>
      </c>
      <c r="J56" s="163">
        <f>BL13</f>
        <v>-3.3423025725033559</v>
      </c>
      <c r="K56" s="163">
        <f>BT13</f>
        <v>-1.153457849861196</v>
      </c>
      <c r="L56" s="163">
        <f>CB13</f>
        <v>-0.12770696246315788</v>
      </c>
      <c r="M56" s="163">
        <f>CJ13</f>
        <v>-3.2100122927744681E-2</v>
      </c>
      <c r="N56" s="163">
        <f>CR13</f>
        <v>-0.37696642542303771</v>
      </c>
      <c r="O56" s="163">
        <f>CZ13</f>
        <v>-0.9993998071643726</v>
      </c>
      <c r="P56" s="163">
        <f>DN13+0.2</f>
        <v>-2.5</v>
      </c>
      <c r="Q56" s="163">
        <f t="shared" ref="Q56:V56" si="219">DO13</f>
        <v>-5</v>
      </c>
      <c r="R56" s="163">
        <f t="shared" si="219"/>
        <v>-7.5</v>
      </c>
      <c r="S56" s="163">
        <f t="shared" si="219"/>
        <v>-8.75</v>
      </c>
      <c r="T56" s="163">
        <f t="shared" si="219"/>
        <v>-9.5</v>
      </c>
      <c r="U56" s="163">
        <f t="shared" si="219"/>
        <v>-10.5</v>
      </c>
      <c r="V56" s="163">
        <f t="shared" si="219"/>
        <v>-13.2</v>
      </c>
    </row>
    <row r="57" spans="1:118" s="161" customFormat="1" ht="2.1" customHeight="1">
      <c r="A57" s="162">
        <f t="shared" si="217"/>
        <v>0</v>
      </c>
      <c r="B57" s="158">
        <f>IF('Effet de sol'!$BF$29=A57,1,0)</f>
        <v>1</v>
      </c>
      <c r="C57" s="163">
        <f>J13</f>
        <v>-42</v>
      </c>
      <c r="D57" s="163">
        <f>R13</f>
        <v>-35.000000459150641</v>
      </c>
      <c r="E57" s="163">
        <f>Z13</f>
        <v>-28.499900459161161</v>
      </c>
      <c r="F57" s="163">
        <f>AH13</f>
        <v>-22.500000459150638</v>
      </c>
      <c r="G57" s="163">
        <f>AP13</f>
        <v>-16.500001285621785</v>
      </c>
      <c r="H57" s="163">
        <f>AX13</f>
        <v>-10.550000045915064</v>
      </c>
      <c r="I57" s="164">
        <f>BF13</f>
        <v>-6.0000012856217868</v>
      </c>
      <c r="J57" s="163">
        <f>BN13</f>
        <v>-2.6000010560464673</v>
      </c>
      <c r="K57" s="163">
        <f>BV13</f>
        <v>-0.80000146928204141</v>
      </c>
      <c r="L57" s="163">
        <f>CD13</f>
        <v>-9.1830127583663713E-7</v>
      </c>
      <c r="M57" s="163">
        <f>CL13</f>
        <v>-0.10000082647114826</v>
      </c>
      <c r="N57" s="163">
        <f>CT13</f>
        <v>-0.49994027549669501</v>
      </c>
      <c r="O57" s="163">
        <f>DB13</f>
        <v>-1.2000002754903827</v>
      </c>
      <c r="P57" s="163">
        <f t="shared" ref="P57:V57" si="220">DN13</f>
        <v>-2.7</v>
      </c>
      <c r="Q57" s="163">
        <f t="shared" si="220"/>
        <v>-5</v>
      </c>
      <c r="R57" s="163">
        <f t="shared" si="220"/>
        <v>-7.5</v>
      </c>
      <c r="S57" s="163">
        <f t="shared" si="220"/>
        <v>-8.75</v>
      </c>
      <c r="T57" s="163">
        <f t="shared" si="220"/>
        <v>-9.5</v>
      </c>
      <c r="U57" s="163">
        <f t="shared" si="220"/>
        <v>-10.5</v>
      </c>
      <c r="V57" s="163">
        <f t="shared" si="220"/>
        <v>-13.2</v>
      </c>
    </row>
    <row r="58" spans="1:118" s="161" customFormat="1" ht="2.1" customHeight="1">
      <c r="A58" s="162">
        <f t="shared" si="217"/>
        <v>-0.25</v>
      </c>
      <c r="B58" s="158">
        <f>IF('Effet de sol'!$BF$29=A58,1,0)</f>
        <v>0</v>
      </c>
      <c r="C58" s="163">
        <f>L13</f>
        <v>-40.216691213349847</v>
      </c>
      <c r="D58" s="163">
        <f>T13</f>
        <v>-33.336670426670665</v>
      </c>
      <c r="E58" s="163">
        <f>AB13</f>
        <v>-26.978265102363473</v>
      </c>
      <c r="F58" s="163">
        <f>AJ13</f>
        <v>-20.998341488910448</v>
      </c>
      <c r="G58" s="163">
        <f>AR13</f>
        <v>-14.963888199728816</v>
      </c>
      <c r="H58" s="163">
        <f>AZ13</f>
        <v>-9.3134965315579681</v>
      </c>
      <c r="I58" s="164">
        <f>BH13</f>
        <v>-5.0469373805702373</v>
      </c>
      <c r="J58" s="163">
        <f>BP13</f>
        <v>-2.0472781057720204</v>
      </c>
      <c r="K58" s="163">
        <f>BX13</f>
        <v>-0.52667700511496185</v>
      </c>
      <c r="L58" s="163">
        <f>CF13</f>
        <v>2.4115451740794297E-2</v>
      </c>
      <c r="M58" s="163">
        <f>CN13</f>
        <v>-0.1770022560024013</v>
      </c>
      <c r="N58" s="163">
        <f>CV13</f>
        <v>-0.65001778157328993</v>
      </c>
      <c r="O58" s="163">
        <f>DD13</f>
        <v>-1.4337017474034015</v>
      </c>
      <c r="P58" s="163">
        <f>DN13-0.2</f>
        <v>-2.9000000000000004</v>
      </c>
      <c r="Q58" s="163">
        <f t="shared" ref="Q58:V58" si="221">DO13</f>
        <v>-5</v>
      </c>
      <c r="R58" s="163">
        <f t="shared" si="221"/>
        <v>-7.5</v>
      </c>
      <c r="S58" s="163">
        <f t="shared" si="221"/>
        <v>-8.75</v>
      </c>
      <c r="T58" s="163">
        <f t="shared" si="221"/>
        <v>-9.5</v>
      </c>
      <c r="U58" s="163">
        <f t="shared" si="221"/>
        <v>-10.5</v>
      </c>
      <c r="V58" s="163">
        <f t="shared" si="221"/>
        <v>-13.2</v>
      </c>
      <c r="W58" s="165"/>
    </row>
    <row r="59" spans="1:118" s="161" customFormat="1" ht="2.1" customHeight="1">
      <c r="A59" s="162">
        <f t="shared" si="217"/>
        <v>-0.5</v>
      </c>
      <c r="B59" s="158">
        <f>IF('Effet de sol'!$BF$29=A59,1,0)</f>
        <v>0</v>
      </c>
      <c r="C59" s="163">
        <f>N13</f>
        <v>-38.448152932708197</v>
      </c>
      <c r="D59" s="163">
        <f>V13</f>
        <v>-31.698188281040196</v>
      </c>
      <c r="E59" s="163">
        <f>AD13</f>
        <v>-25.474111814686097</v>
      </c>
      <c r="F59" s="163">
        <f>AL13</f>
        <v>-19.49741118146861</v>
      </c>
      <c r="G59" s="163">
        <f>AT13</f>
        <v>-13.449924262589679</v>
      </c>
      <c r="H59" s="163">
        <f>BB13</f>
        <v>-8.1429702548990868</v>
      </c>
      <c r="I59" s="164">
        <f>BJ13</f>
        <v>-4.1576149807735252</v>
      </c>
      <c r="J59" s="163">
        <f>BR13</f>
        <v>-1.5653814363676966</v>
      </c>
      <c r="K59" s="163">
        <f>BZ13</f>
        <v>-0.30162489580716273</v>
      </c>
      <c r="L59" s="163">
        <f>CH13</f>
        <v>1.2152853752568124E-2</v>
      </c>
      <c r="M59" s="163">
        <f>CP13</f>
        <v>-0.26891296862411734</v>
      </c>
      <c r="N59" s="163">
        <f>CX13</f>
        <v>-0.81582759538564598</v>
      </c>
      <c r="O59" s="163">
        <f>DF13</f>
        <v>-1.6927210131479775</v>
      </c>
      <c r="P59" s="163">
        <f>DN13-0.4</f>
        <v>-3.1</v>
      </c>
      <c r="Q59" s="163">
        <f t="shared" ref="Q59:V59" si="222">DO13</f>
        <v>-5</v>
      </c>
      <c r="R59" s="163">
        <f t="shared" si="222"/>
        <v>-7.5</v>
      </c>
      <c r="S59" s="163">
        <f t="shared" si="222"/>
        <v>-8.75</v>
      </c>
      <c r="T59" s="163">
        <f t="shared" si="222"/>
        <v>-9.5</v>
      </c>
      <c r="U59" s="163">
        <f t="shared" si="222"/>
        <v>-10.5</v>
      </c>
      <c r="V59" s="163">
        <f t="shared" si="222"/>
        <v>-13.2</v>
      </c>
      <c r="W59" s="165"/>
    </row>
    <row r="60" spans="1:118" s="161" customFormat="1" ht="2.1" customHeight="1">
      <c r="A60" s="162">
        <f t="shared" si="217"/>
        <v>-0.75</v>
      </c>
      <c r="B60" s="158">
        <f>IF('Effet de sol'!$BF$29=A60,1,0)</f>
        <v>0</v>
      </c>
      <c r="C60" s="163">
        <f>P13</f>
        <v>-36.706511075132433</v>
      </c>
      <c r="D60" s="163">
        <f>X13</f>
        <v>-30.086610709038396</v>
      </c>
      <c r="E60" s="163">
        <f>AF13</f>
        <v>-23.983414889104452</v>
      </c>
      <c r="F60" s="163">
        <f>AN13</f>
        <v>-17.997826510236351</v>
      </c>
      <c r="G60" s="163">
        <f>AV13</f>
        <v>-11.974983775528173</v>
      </c>
      <c r="H60" s="163">
        <f>BD13</f>
        <v>-7.0410714249284574</v>
      </c>
      <c r="I60" s="164">
        <f>BL13</f>
        <v>-3.3423025725033559</v>
      </c>
      <c r="J60" s="163">
        <f>BT13</f>
        <v>-1.153457849861196</v>
      </c>
      <c r="K60" s="163">
        <f>CB13</f>
        <v>-0.12770696246315788</v>
      </c>
      <c r="L60" s="163">
        <f>CJ13</f>
        <v>-3.2100122927744681E-2</v>
      </c>
      <c r="M60" s="163">
        <f>CR13</f>
        <v>-0.37696642542303771</v>
      </c>
      <c r="N60" s="163">
        <f>CZ13</f>
        <v>-0.9993998071643726</v>
      </c>
      <c r="O60" s="163">
        <f>DH13</f>
        <v>-1.9711174403104121</v>
      </c>
      <c r="P60" s="163">
        <f>DN13-0.6</f>
        <v>-3.3000000000000003</v>
      </c>
      <c r="Q60" s="163">
        <f t="shared" ref="Q60:V60" si="223">DO13</f>
        <v>-5</v>
      </c>
      <c r="R60" s="163">
        <f t="shared" si="223"/>
        <v>-7.5</v>
      </c>
      <c r="S60" s="163">
        <f t="shared" si="223"/>
        <v>-8.75</v>
      </c>
      <c r="T60" s="163">
        <f t="shared" si="223"/>
        <v>-9.5</v>
      </c>
      <c r="U60" s="163">
        <f t="shared" si="223"/>
        <v>-10.5</v>
      </c>
      <c r="V60" s="163">
        <f t="shared" si="223"/>
        <v>-13.2</v>
      </c>
    </row>
    <row r="61" spans="1:118" s="161" customFormat="1" ht="2.1" customHeight="1">
      <c r="A61" s="162">
        <f t="shared" si="217"/>
        <v>-1</v>
      </c>
      <c r="B61" s="158">
        <f>IF('Effet de sol'!$BF$29=A61,1,0)</f>
        <v>0</v>
      </c>
      <c r="C61" s="163">
        <f>R13</f>
        <v>-35.000000459150641</v>
      </c>
      <c r="D61" s="163">
        <f>Z13</f>
        <v>-28.499900459161161</v>
      </c>
      <c r="E61" s="163">
        <f>AH13</f>
        <v>-22.500000459150638</v>
      </c>
      <c r="F61" s="163">
        <f>AP13</f>
        <v>-16.500001285621785</v>
      </c>
      <c r="G61" s="163">
        <f>AX13</f>
        <v>-10.550000045915064</v>
      </c>
      <c r="H61" s="163">
        <f>BF13</f>
        <v>-6.0000012856217868</v>
      </c>
      <c r="I61" s="164">
        <f>BN13</f>
        <v>-2.6000010560464673</v>
      </c>
      <c r="J61" s="163">
        <f>BV13</f>
        <v>-0.80000146928204141</v>
      </c>
      <c r="K61" s="163">
        <f>CD13</f>
        <v>-9.1830127583663713E-7</v>
      </c>
      <c r="L61" s="163">
        <f>CL13</f>
        <v>-0.10000082647114826</v>
      </c>
      <c r="M61" s="163">
        <f>CT13</f>
        <v>-0.49994027549669501</v>
      </c>
      <c r="N61" s="163">
        <f>DB13</f>
        <v>-1.2000002754903827</v>
      </c>
      <c r="O61" s="163">
        <f>DJ13</f>
        <v>-2.2600006611769188</v>
      </c>
      <c r="P61" s="163">
        <f>DN13-0.8</f>
        <v>-3.5</v>
      </c>
      <c r="Q61" s="163">
        <f t="shared" ref="Q61:V61" si="224">DO13</f>
        <v>-5</v>
      </c>
      <c r="R61" s="163">
        <f t="shared" si="224"/>
        <v>-7.5</v>
      </c>
      <c r="S61" s="163">
        <f t="shared" si="224"/>
        <v>-8.75</v>
      </c>
      <c r="T61" s="163">
        <f t="shared" si="224"/>
        <v>-9.5</v>
      </c>
      <c r="U61" s="163">
        <f t="shared" si="224"/>
        <v>-10.5</v>
      </c>
      <c r="V61" s="163">
        <f t="shared" si="224"/>
        <v>-13.2</v>
      </c>
    </row>
    <row r="62" spans="1:118" s="126" customFormat="1" ht="12" customHeight="1">
      <c r="B62" s="127"/>
      <c r="C62" s="128"/>
      <c r="D62" s="128"/>
      <c r="E62" s="128"/>
      <c r="F62" s="128"/>
      <c r="G62" s="128"/>
      <c r="H62" s="128"/>
      <c r="I62" s="128"/>
      <c r="J62" s="135"/>
      <c r="K62" s="128"/>
      <c r="L62" s="128"/>
      <c r="M62" s="128"/>
      <c r="N62" s="128"/>
      <c r="O62" s="128"/>
      <c r="P62" s="128"/>
      <c r="Q62" s="128"/>
      <c r="R62" s="144"/>
      <c r="S62" s="128"/>
      <c r="T62" s="128"/>
      <c r="U62" s="128"/>
      <c r="Z62" s="138"/>
      <c r="AH62" s="141"/>
      <c r="AP62" s="138"/>
      <c r="AX62" s="141"/>
      <c r="BF62" s="138"/>
      <c r="BN62" s="141"/>
      <c r="BV62" s="138"/>
      <c r="CD62" s="141"/>
      <c r="CL62" s="138"/>
      <c r="CT62" s="141"/>
      <c r="DB62" s="138"/>
      <c r="DN62" s="141"/>
    </row>
  </sheetData>
  <sheetProtection password="8EBD" sheet="1" objects="1" scenarios="1"/>
  <mergeCells count="3">
    <mergeCell ref="A22:B22"/>
    <mergeCell ref="A49:B49"/>
    <mergeCell ref="A50:B50"/>
  </mergeCells>
  <phoneticPr fontId="0" type="noConversion"/>
  <dataValidations count="1">
    <dataValidation type="list" allowBlank="1" showInputMessage="1" showErrorMessage="1" sqref="A32">
      <formula1>$A$26:$A$27</formula1>
    </dataValidation>
  </dataValidations>
  <printOptions horizontalCentered="1" verticalCentered="1"/>
  <pageMargins left="0.35" right="0.35" top="0.98425196850393704" bottom="0.43307086614173229" header="0.51181102362204722" footer="0.51181102362204722"/>
  <pageSetup paperSize="9" scale="125" orientation="landscape" r:id="rId1"/>
  <headerFooter alignWithMargins="0">
    <oddHeader>&amp;L&amp;F&amp;C&amp;A&amp;R&amp;D</oddHeader>
  </headerFooter>
  <drawing r:id="rId2"/>
</worksheet>
</file>

<file path=xl/worksheets/sheet4.xml><?xml version="1.0" encoding="utf-8"?>
<worksheet xmlns="http://schemas.openxmlformats.org/spreadsheetml/2006/main" xmlns:r="http://schemas.openxmlformats.org/officeDocument/2006/relationships">
  <dimension ref="A1:O15"/>
  <sheetViews>
    <sheetView showGridLines="0" showRowColHeaders="0" workbookViewId="0">
      <selection activeCell="R34" sqref="R34"/>
    </sheetView>
  </sheetViews>
  <sheetFormatPr baseColWidth="10" defaultRowHeight="12.75"/>
  <cols>
    <col min="1" max="1" width="16.7109375" customWidth="1"/>
    <col min="2" max="15" width="8.140625" style="3" customWidth="1"/>
    <col min="16" max="16" width="6.140625" customWidth="1"/>
  </cols>
  <sheetData>
    <row r="1" spans="1:15" ht="0.95" customHeight="1">
      <c r="A1" s="6" t="s">
        <v>3</v>
      </c>
      <c r="B1" s="2">
        <v>0</v>
      </c>
      <c r="C1" s="2">
        <v>1</v>
      </c>
      <c r="D1" s="2">
        <v>2</v>
      </c>
      <c r="E1" s="2">
        <v>3</v>
      </c>
      <c r="F1" s="2">
        <v>4</v>
      </c>
      <c r="G1" s="2">
        <v>5</v>
      </c>
      <c r="H1" s="2">
        <v>6</v>
      </c>
      <c r="I1" s="2">
        <v>7.5</v>
      </c>
      <c r="J1" s="2">
        <v>10</v>
      </c>
      <c r="K1" s="2">
        <v>15</v>
      </c>
      <c r="L1" s="2">
        <v>20</v>
      </c>
      <c r="M1" s="2">
        <v>25</v>
      </c>
      <c r="N1" s="2">
        <v>30</v>
      </c>
      <c r="O1" s="2">
        <v>45</v>
      </c>
    </row>
    <row r="2" spans="1:15" ht="0.95" customHeight="1">
      <c r="A2" s="7" t="s">
        <v>4</v>
      </c>
      <c r="B2" s="8">
        <f>B1/180*3.1415926</f>
        <v>0</v>
      </c>
      <c r="C2" s="8">
        <f t="shared" ref="C2:O2" si="0">C1/180*3.1415926</f>
        <v>1.7453292222222222E-2</v>
      </c>
      <c r="D2" s="8">
        <f t="shared" si="0"/>
        <v>3.4906584444444444E-2</v>
      </c>
      <c r="E2" s="8">
        <f t="shared" si="0"/>
        <v>5.2359876666666666E-2</v>
      </c>
      <c r="F2" s="8">
        <f t="shared" si="0"/>
        <v>6.9813168888888888E-2</v>
      </c>
      <c r="G2" s="8">
        <f t="shared" si="0"/>
        <v>8.726646111111111E-2</v>
      </c>
      <c r="H2" s="8">
        <f t="shared" si="0"/>
        <v>0.10471975333333333</v>
      </c>
      <c r="I2" s="8">
        <f t="shared" si="0"/>
        <v>0.13089969166666665</v>
      </c>
      <c r="J2" s="8">
        <f t="shared" si="0"/>
        <v>0.17453292222222222</v>
      </c>
      <c r="K2" s="8">
        <f t="shared" si="0"/>
        <v>0.2617993833333333</v>
      </c>
      <c r="L2" s="8">
        <f t="shared" si="0"/>
        <v>0.34906584444444444</v>
      </c>
      <c r="M2" s="8">
        <f t="shared" si="0"/>
        <v>0.43633230555555558</v>
      </c>
      <c r="N2" s="8">
        <f t="shared" si="0"/>
        <v>0.5235987666666666</v>
      </c>
      <c r="O2" s="8">
        <f t="shared" si="0"/>
        <v>0.78539815000000002</v>
      </c>
    </row>
    <row r="3" spans="1:15" ht="0.95" customHeight="1">
      <c r="A3" s="7" t="s">
        <v>7</v>
      </c>
      <c r="B3" s="8">
        <f>SIN(B2)</f>
        <v>0</v>
      </c>
      <c r="C3" s="8">
        <f t="shared" ref="C3:O3" si="1">SIN(C2)</f>
        <v>1.7452406139607784E-2</v>
      </c>
      <c r="D3" s="8">
        <f t="shared" si="1"/>
        <v>3.4899496107421553E-2</v>
      </c>
      <c r="E3" s="8">
        <f t="shared" si="1"/>
        <v>5.2335955351004659E-2</v>
      </c>
      <c r="F3" s="8">
        <f t="shared" si="1"/>
        <v>6.9756472556141938E-2</v>
      </c>
      <c r="G3" s="8">
        <f t="shared" si="1"/>
        <v>8.7155741264717396E-2</v>
      </c>
      <c r="H3" s="8">
        <f t="shared" si="1"/>
        <v>0.10452846149111271</v>
      </c>
      <c r="I3" s="8">
        <f t="shared" si="1"/>
        <v>0.13052619000624635</v>
      </c>
      <c r="J3" s="8">
        <f t="shared" si="1"/>
        <v>0.17364817473495014</v>
      </c>
      <c r="K3" s="8">
        <f t="shared" si="1"/>
        <v>0.25881904078887363</v>
      </c>
      <c r="L3" s="8">
        <f t="shared" si="1"/>
        <v>0.34202013773034279</v>
      </c>
      <c r="M3" s="8">
        <f t="shared" si="1"/>
        <v>0.42261825499502625</v>
      </c>
      <c r="N3" s="8">
        <f t="shared" si="1"/>
        <v>0.49999999226497954</v>
      </c>
      <c r="O3" s="8">
        <f t="shared" si="1"/>
        <v>0.70710677171312097</v>
      </c>
    </row>
    <row r="4" spans="1:15" s="4" customFormat="1" ht="0.95" customHeight="1">
      <c r="A4" s="14" t="s">
        <v>1</v>
      </c>
      <c r="B4" s="9">
        <f>'Gain de l''antenne'!H19</f>
        <v>0</v>
      </c>
      <c r="C4" s="9">
        <f>'Gain de l''antenne'!I19</f>
        <v>0</v>
      </c>
      <c r="D4" s="9">
        <f>'Gain de l''antenne'!J19</f>
        <v>0</v>
      </c>
      <c r="E4" s="9">
        <f>'Gain de l''antenne'!K19</f>
        <v>0</v>
      </c>
      <c r="F4" s="9">
        <f>'Gain de l''antenne'!L19</f>
        <v>0</v>
      </c>
      <c r="G4" s="9">
        <f>'Gain de l''antenne'!M19</f>
        <v>0</v>
      </c>
      <c r="H4" s="9">
        <f>'Gain de l''antenne'!N19</f>
        <v>0</v>
      </c>
      <c r="I4" s="9">
        <f>'Gain de l''antenne'!O19</f>
        <v>0</v>
      </c>
      <c r="J4" s="9">
        <f>'Gain de l''antenne'!P19</f>
        <v>0</v>
      </c>
      <c r="K4" s="9">
        <f>'Gain de l''antenne'!Q19</f>
        <v>0</v>
      </c>
      <c r="L4" s="9">
        <f>'Gain de l''antenne'!R19</f>
        <v>0</v>
      </c>
      <c r="M4" s="9">
        <f>'Gain de l''antenne'!S19</f>
        <v>0</v>
      </c>
      <c r="N4" s="9">
        <f>'Gain de l''antenne'!T19</f>
        <v>0</v>
      </c>
      <c r="O4" s="9">
        <f>'Gain de l''antenne'!U19</f>
        <v>0</v>
      </c>
    </row>
    <row r="5" spans="1:15" ht="0.95" customHeight="1">
      <c r="A5" s="7" t="s">
        <v>8</v>
      </c>
      <c r="B5" s="9">
        <f t="shared" ref="B5:O5" si="2">10*LOG($A$15)+B4/2</f>
        <v>-30</v>
      </c>
      <c r="C5" s="9">
        <f t="shared" si="2"/>
        <v>-30</v>
      </c>
      <c r="D5" s="9">
        <f t="shared" si="2"/>
        <v>-30</v>
      </c>
      <c r="E5" s="9">
        <f t="shared" si="2"/>
        <v>-30</v>
      </c>
      <c r="F5" s="9">
        <f t="shared" si="2"/>
        <v>-30</v>
      </c>
      <c r="G5" s="9">
        <f t="shared" si="2"/>
        <v>-30</v>
      </c>
      <c r="H5" s="9">
        <f t="shared" si="2"/>
        <v>-30</v>
      </c>
      <c r="I5" s="9">
        <f t="shared" si="2"/>
        <v>-30</v>
      </c>
      <c r="J5" s="9">
        <f t="shared" si="2"/>
        <v>-30</v>
      </c>
      <c r="K5" s="9">
        <f t="shared" si="2"/>
        <v>-30</v>
      </c>
      <c r="L5" s="9">
        <f t="shared" si="2"/>
        <v>-30</v>
      </c>
      <c r="M5" s="9">
        <f t="shared" si="2"/>
        <v>-30</v>
      </c>
      <c r="N5" s="9">
        <f t="shared" si="2"/>
        <v>-30</v>
      </c>
      <c r="O5" s="9">
        <f t="shared" si="2"/>
        <v>-30</v>
      </c>
    </row>
    <row r="6" spans="1:15" ht="0.95" customHeight="1">
      <c r="A6" s="7" t="s">
        <v>49</v>
      </c>
      <c r="B6" s="9">
        <f t="shared" ref="B6:O6" si="3">IF($A$15&gt;1,1,0)</f>
        <v>0</v>
      </c>
      <c r="C6" s="9">
        <f t="shared" si="3"/>
        <v>0</v>
      </c>
      <c r="D6" s="9">
        <f t="shared" si="3"/>
        <v>0</v>
      </c>
      <c r="E6" s="9">
        <f t="shared" si="3"/>
        <v>0</v>
      </c>
      <c r="F6" s="9">
        <f t="shared" si="3"/>
        <v>0</v>
      </c>
      <c r="G6" s="9">
        <f t="shared" si="3"/>
        <v>0</v>
      </c>
      <c r="H6" s="9">
        <f t="shared" si="3"/>
        <v>0</v>
      </c>
      <c r="I6" s="9">
        <f t="shared" si="3"/>
        <v>0</v>
      </c>
      <c r="J6" s="9">
        <f t="shared" si="3"/>
        <v>0</v>
      </c>
      <c r="K6" s="9">
        <f t="shared" si="3"/>
        <v>0</v>
      </c>
      <c r="L6" s="9">
        <f t="shared" si="3"/>
        <v>0</v>
      </c>
      <c r="M6" s="9">
        <f t="shared" si="3"/>
        <v>0</v>
      </c>
      <c r="N6" s="9">
        <f t="shared" si="3"/>
        <v>0</v>
      </c>
      <c r="O6" s="9">
        <f t="shared" si="3"/>
        <v>0</v>
      </c>
    </row>
    <row r="7" spans="1:15" s="58" customFormat="1" ht="0.95" customHeight="1">
      <c r="A7" s="56" t="s">
        <v>5</v>
      </c>
      <c r="B7" s="57">
        <f>POWER(10,B5/10)</f>
        <v>1E-3</v>
      </c>
      <c r="C7" s="57">
        <f t="shared" ref="C7:O7" si="4">POWER(10,C5/10)</f>
        <v>1E-3</v>
      </c>
      <c r="D7" s="57">
        <f t="shared" si="4"/>
        <v>1E-3</v>
      </c>
      <c r="E7" s="57">
        <f t="shared" si="4"/>
        <v>1E-3</v>
      </c>
      <c r="F7" s="57">
        <f t="shared" si="4"/>
        <v>1E-3</v>
      </c>
      <c r="G7" s="57">
        <f t="shared" si="4"/>
        <v>1E-3</v>
      </c>
      <c r="H7" s="57">
        <f t="shared" si="4"/>
        <v>1E-3</v>
      </c>
      <c r="I7" s="57">
        <f t="shared" si="4"/>
        <v>1E-3</v>
      </c>
      <c r="J7" s="57">
        <f t="shared" si="4"/>
        <v>1E-3</v>
      </c>
      <c r="K7" s="57">
        <f t="shared" si="4"/>
        <v>1E-3</v>
      </c>
      <c r="L7" s="57">
        <f t="shared" si="4"/>
        <v>1E-3</v>
      </c>
      <c r="M7" s="57">
        <f t="shared" si="4"/>
        <v>1E-3</v>
      </c>
      <c r="N7" s="57">
        <f t="shared" si="4"/>
        <v>1E-3</v>
      </c>
      <c r="O7" s="57">
        <f t="shared" si="4"/>
        <v>1E-3</v>
      </c>
    </row>
    <row r="8" spans="1:15" s="5" customFormat="1" ht="0.95" customHeight="1">
      <c r="A8" s="10" t="s">
        <v>48</v>
      </c>
      <c r="B8" s="11">
        <f>B7*B6</f>
        <v>0</v>
      </c>
      <c r="C8" s="11">
        <f t="shared" ref="C8:O8" si="5">C7*C6</f>
        <v>0</v>
      </c>
      <c r="D8" s="11">
        <f t="shared" si="5"/>
        <v>0</v>
      </c>
      <c r="E8" s="11">
        <f t="shared" si="5"/>
        <v>0</v>
      </c>
      <c r="F8" s="11">
        <f t="shared" si="5"/>
        <v>0</v>
      </c>
      <c r="G8" s="11">
        <f t="shared" si="5"/>
        <v>0</v>
      </c>
      <c r="H8" s="11">
        <f t="shared" si="5"/>
        <v>0</v>
      </c>
      <c r="I8" s="11">
        <f t="shared" si="5"/>
        <v>0</v>
      </c>
      <c r="J8" s="11">
        <f t="shared" si="5"/>
        <v>0</v>
      </c>
      <c r="K8" s="11">
        <f t="shared" si="5"/>
        <v>0</v>
      </c>
      <c r="L8" s="11">
        <f t="shared" si="5"/>
        <v>0</v>
      </c>
      <c r="M8" s="11">
        <f t="shared" si="5"/>
        <v>0</v>
      </c>
      <c r="N8" s="11">
        <f t="shared" si="5"/>
        <v>0</v>
      </c>
      <c r="O8" s="11">
        <f t="shared" si="5"/>
        <v>0</v>
      </c>
    </row>
    <row r="9" spans="1:15" s="5" customFormat="1" ht="0.95" customHeight="1">
      <c r="A9" s="12" t="s">
        <v>6</v>
      </c>
      <c r="B9" s="13">
        <f t="shared" ref="B9:O9" si="6">(B8*B8/17+B8*B3*1000)</f>
        <v>0</v>
      </c>
      <c r="C9" s="13">
        <f t="shared" si="6"/>
        <v>0</v>
      </c>
      <c r="D9" s="13">
        <f t="shared" si="6"/>
        <v>0</v>
      </c>
      <c r="E9" s="13">
        <f t="shared" si="6"/>
        <v>0</v>
      </c>
      <c r="F9" s="13">
        <f t="shared" si="6"/>
        <v>0</v>
      </c>
      <c r="G9" s="13">
        <f t="shared" si="6"/>
        <v>0</v>
      </c>
      <c r="H9" s="13">
        <f t="shared" si="6"/>
        <v>0</v>
      </c>
      <c r="I9" s="13">
        <f t="shared" si="6"/>
        <v>0</v>
      </c>
      <c r="J9" s="13">
        <f t="shared" si="6"/>
        <v>0</v>
      </c>
      <c r="K9" s="13">
        <f t="shared" si="6"/>
        <v>0</v>
      </c>
      <c r="L9" s="13">
        <f t="shared" si="6"/>
        <v>0</v>
      </c>
      <c r="M9" s="13">
        <f t="shared" si="6"/>
        <v>0</v>
      </c>
      <c r="N9" s="13">
        <f t="shared" si="6"/>
        <v>0</v>
      </c>
      <c r="O9" s="13">
        <f t="shared" si="6"/>
        <v>0</v>
      </c>
    </row>
    <row r="10" spans="1:15" ht="12" customHeight="1"/>
    <row r="11" spans="1:15" ht="12.6" customHeight="1"/>
    <row r="13" spans="1:15" ht="13.5" customHeight="1"/>
    <row r="14" spans="1:15" ht="18.75" customHeight="1">
      <c r="A14" s="51" t="s">
        <v>9</v>
      </c>
    </row>
    <row r="15" spans="1:15" ht="18.75" customHeight="1">
      <c r="A15" s="55">
        <f>'Equation du radar'!H22</f>
        <v>1E-3</v>
      </c>
    </row>
  </sheetData>
  <phoneticPr fontId="0" type="noConversion"/>
  <printOptions horizontalCentered="1" verticalCentered="1"/>
  <pageMargins left="0.33" right="0.19685039370078741" top="0.97" bottom="0.31496062992125984" header="0.51181102362204722" footer="0.31496062992125984"/>
  <pageSetup paperSize="9" scale="125" orientation="landscape" r:id="rId1"/>
  <headerFooter alignWithMargins="0">
    <oddHeader>&amp;L&amp;F&amp;C&amp;A&amp;R&amp;D</oddHeader>
  </headerFooter>
  <drawing r:id="rId2"/>
</worksheet>
</file>

<file path=xl/worksheets/sheet5.xml><?xml version="1.0" encoding="utf-8"?>
<worksheet xmlns="http://schemas.openxmlformats.org/spreadsheetml/2006/main" xmlns:r="http://schemas.openxmlformats.org/officeDocument/2006/relationships">
  <dimension ref="A1:O29"/>
  <sheetViews>
    <sheetView showGridLines="0" showRowColHeaders="0" workbookViewId="0">
      <selection activeCell="A24" sqref="A24"/>
    </sheetView>
  </sheetViews>
  <sheetFormatPr baseColWidth="10" defaultRowHeight="12.6" customHeight="1"/>
  <cols>
    <col min="1" max="1" width="16.7109375" customWidth="1"/>
    <col min="2" max="2" width="9.42578125" style="3" customWidth="1"/>
    <col min="3" max="15" width="8.140625" style="3" customWidth="1"/>
    <col min="16" max="16" width="6.140625" customWidth="1"/>
  </cols>
  <sheetData>
    <row r="1" spans="1:15" s="61" customFormat="1" ht="0.95" customHeight="1">
      <c r="A1" s="59" t="s">
        <v>3</v>
      </c>
      <c r="B1" s="60">
        <v>0</v>
      </c>
      <c r="C1" s="60">
        <v>1</v>
      </c>
      <c r="D1" s="60">
        <v>2</v>
      </c>
      <c r="E1" s="60">
        <v>3</v>
      </c>
      <c r="F1" s="60">
        <v>4</v>
      </c>
      <c r="G1" s="60">
        <v>5</v>
      </c>
      <c r="H1" s="60">
        <v>6</v>
      </c>
      <c r="I1" s="60">
        <v>7.5</v>
      </c>
      <c r="J1" s="60">
        <v>10</v>
      </c>
      <c r="K1" s="60">
        <v>15</v>
      </c>
      <c r="L1" s="60">
        <v>20</v>
      </c>
      <c r="M1" s="60">
        <v>25</v>
      </c>
      <c r="N1" s="60">
        <v>30</v>
      </c>
      <c r="O1" s="60">
        <v>45</v>
      </c>
    </row>
    <row r="2" spans="1:15" s="61" customFormat="1" ht="0.95" customHeight="1">
      <c r="A2" s="59" t="s">
        <v>4</v>
      </c>
      <c r="B2" s="62">
        <f>B1/180*3.1415926</f>
        <v>0</v>
      </c>
      <c r="C2" s="62">
        <f t="shared" ref="C2:O2" si="0">C1/180*3.1415926</f>
        <v>1.7453292222222222E-2</v>
      </c>
      <c r="D2" s="62">
        <f t="shared" si="0"/>
        <v>3.4906584444444444E-2</v>
      </c>
      <c r="E2" s="62">
        <f t="shared" si="0"/>
        <v>5.2359876666666666E-2</v>
      </c>
      <c r="F2" s="62">
        <f t="shared" si="0"/>
        <v>6.9813168888888888E-2</v>
      </c>
      <c r="G2" s="62">
        <f t="shared" si="0"/>
        <v>8.726646111111111E-2</v>
      </c>
      <c r="H2" s="62">
        <f t="shared" si="0"/>
        <v>0.10471975333333333</v>
      </c>
      <c r="I2" s="62">
        <f t="shared" si="0"/>
        <v>0.13089969166666665</v>
      </c>
      <c r="J2" s="62">
        <f t="shared" si="0"/>
        <v>0.17453292222222222</v>
      </c>
      <c r="K2" s="62">
        <f t="shared" si="0"/>
        <v>0.2617993833333333</v>
      </c>
      <c r="L2" s="62">
        <f t="shared" si="0"/>
        <v>0.34906584444444444</v>
      </c>
      <c r="M2" s="62">
        <f t="shared" si="0"/>
        <v>0.43633230555555558</v>
      </c>
      <c r="N2" s="62">
        <f t="shared" si="0"/>
        <v>0.5235987666666666</v>
      </c>
      <c r="O2" s="62">
        <f t="shared" si="0"/>
        <v>0.78539815000000002</v>
      </c>
    </row>
    <row r="3" spans="1:15" s="61" customFormat="1" ht="0.95" customHeight="1">
      <c r="A3" s="59" t="s">
        <v>7</v>
      </c>
      <c r="B3" s="62">
        <f>SIN(B2)</f>
        <v>0</v>
      </c>
      <c r="C3" s="62">
        <f t="shared" ref="C3:O3" si="1">SIN(C2)</f>
        <v>1.7452406139607784E-2</v>
      </c>
      <c r="D3" s="62">
        <f t="shared" si="1"/>
        <v>3.4899496107421553E-2</v>
      </c>
      <c r="E3" s="62">
        <f t="shared" si="1"/>
        <v>5.2335955351004659E-2</v>
      </c>
      <c r="F3" s="62">
        <f t="shared" si="1"/>
        <v>6.9756472556141938E-2</v>
      </c>
      <c r="G3" s="62">
        <f t="shared" si="1"/>
        <v>8.7155741264717396E-2</v>
      </c>
      <c r="H3" s="62">
        <f t="shared" si="1"/>
        <v>0.10452846149111271</v>
      </c>
      <c r="I3" s="62">
        <f t="shared" si="1"/>
        <v>0.13052619000624635</v>
      </c>
      <c r="J3" s="62">
        <f t="shared" si="1"/>
        <v>0.17364817473495014</v>
      </c>
      <c r="K3" s="62">
        <f t="shared" si="1"/>
        <v>0.25881904078887363</v>
      </c>
      <c r="L3" s="62">
        <f t="shared" si="1"/>
        <v>0.34202013773034279</v>
      </c>
      <c r="M3" s="62">
        <f t="shared" si="1"/>
        <v>0.42261825499502625</v>
      </c>
      <c r="N3" s="62">
        <f t="shared" si="1"/>
        <v>0.49999999226497954</v>
      </c>
      <c r="O3" s="62">
        <f t="shared" si="1"/>
        <v>0.70710677171312097</v>
      </c>
    </row>
    <row r="4" spans="1:15" s="65" customFormat="1" ht="0.95" customHeight="1">
      <c r="A4" s="63" t="s">
        <v>1</v>
      </c>
      <c r="B4" s="64">
        <f>'Gain de l''antenne'!H19</f>
        <v>0</v>
      </c>
      <c r="C4" s="64">
        <f>'Gain de l''antenne'!I19</f>
        <v>0</v>
      </c>
      <c r="D4" s="64">
        <f>'Gain de l''antenne'!J19</f>
        <v>0</v>
      </c>
      <c r="E4" s="64">
        <f>'Gain de l''antenne'!K19</f>
        <v>0</v>
      </c>
      <c r="F4" s="64">
        <f>'Gain de l''antenne'!L19</f>
        <v>0</v>
      </c>
      <c r="G4" s="64">
        <f>'Gain de l''antenne'!M19</f>
        <v>0</v>
      </c>
      <c r="H4" s="64">
        <f>'Gain de l''antenne'!N19</f>
        <v>0</v>
      </c>
      <c r="I4" s="64">
        <f>'Gain de l''antenne'!O19</f>
        <v>0</v>
      </c>
      <c r="J4" s="64">
        <f>'Gain de l''antenne'!P19</f>
        <v>0</v>
      </c>
      <c r="K4" s="64">
        <f>'Gain de l''antenne'!Q19</f>
        <v>0</v>
      </c>
      <c r="L4" s="64">
        <f>'Gain de l''antenne'!R19</f>
        <v>0</v>
      </c>
      <c r="M4" s="64">
        <f>'Gain de l''antenne'!S19</f>
        <v>0</v>
      </c>
      <c r="N4" s="64">
        <f>'Gain de l''antenne'!T19</f>
        <v>0</v>
      </c>
      <c r="O4" s="64">
        <f>'Gain de l''antenne'!U19</f>
        <v>0</v>
      </c>
    </row>
    <row r="5" spans="1:15" s="61" customFormat="1" ht="0.95" customHeight="1">
      <c r="A5" s="59" t="s">
        <v>8</v>
      </c>
      <c r="B5" s="64">
        <f>10*LOG($A$20)+B4/2</f>
        <v>-30</v>
      </c>
      <c r="C5" s="64">
        <f t="shared" ref="C5:O5" si="2">10*LOG($A$20)+C4/2</f>
        <v>-30</v>
      </c>
      <c r="D5" s="64">
        <f t="shared" si="2"/>
        <v>-30</v>
      </c>
      <c r="E5" s="64">
        <f t="shared" si="2"/>
        <v>-30</v>
      </c>
      <c r="F5" s="64">
        <f t="shared" si="2"/>
        <v>-30</v>
      </c>
      <c r="G5" s="64">
        <f t="shared" si="2"/>
        <v>-30</v>
      </c>
      <c r="H5" s="64">
        <f t="shared" si="2"/>
        <v>-30</v>
      </c>
      <c r="I5" s="64">
        <f t="shared" si="2"/>
        <v>-30</v>
      </c>
      <c r="J5" s="64">
        <f t="shared" si="2"/>
        <v>-30</v>
      </c>
      <c r="K5" s="64">
        <f t="shared" si="2"/>
        <v>-30</v>
      </c>
      <c r="L5" s="64">
        <f t="shared" si="2"/>
        <v>-30</v>
      </c>
      <c r="M5" s="64">
        <f t="shared" si="2"/>
        <v>-30</v>
      </c>
      <c r="N5" s="64">
        <f t="shared" si="2"/>
        <v>-30</v>
      </c>
      <c r="O5" s="64">
        <f t="shared" si="2"/>
        <v>-30</v>
      </c>
    </row>
    <row r="6" spans="1:15" s="67" customFormat="1" ht="0.95" customHeight="1">
      <c r="A6" s="66" t="s">
        <v>5</v>
      </c>
      <c r="B6" s="18">
        <f t="shared" ref="B6:N6" si="3">POWER(10,B5/10)</f>
        <v>1E-3</v>
      </c>
      <c r="C6" s="18">
        <f t="shared" si="3"/>
        <v>1E-3</v>
      </c>
      <c r="D6" s="18">
        <f t="shared" si="3"/>
        <v>1E-3</v>
      </c>
      <c r="E6" s="18">
        <f t="shared" si="3"/>
        <v>1E-3</v>
      </c>
      <c r="F6" s="18">
        <f t="shared" si="3"/>
        <v>1E-3</v>
      </c>
      <c r="G6" s="18">
        <f t="shared" si="3"/>
        <v>1E-3</v>
      </c>
      <c r="H6" s="18">
        <f t="shared" si="3"/>
        <v>1E-3</v>
      </c>
      <c r="I6" s="18">
        <f t="shared" si="3"/>
        <v>1E-3</v>
      </c>
      <c r="J6" s="18">
        <f t="shared" si="3"/>
        <v>1E-3</v>
      </c>
      <c r="K6" s="18">
        <f t="shared" si="3"/>
        <v>1E-3</v>
      </c>
      <c r="L6" s="18">
        <f t="shared" si="3"/>
        <v>1E-3</v>
      </c>
      <c r="M6" s="18">
        <f t="shared" si="3"/>
        <v>1E-3</v>
      </c>
      <c r="N6" s="18">
        <f t="shared" si="3"/>
        <v>1E-3</v>
      </c>
      <c r="O6" s="18">
        <f>POWER(10,O5/10)</f>
        <v>1E-3</v>
      </c>
    </row>
    <row r="7" spans="1:15" s="67" customFormat="1" ht="0.95" customHeight="1">
      <c r="A7" s="66" t="s">
        <v>6</v>
      </c>
      <c r="B7" s="18">
        <f t="shared" ref="B7:O7" si="4">(B6*B6/17+B6*B3*1000)</f>
        <v>5.8823529411764702E-8</v>
      </c>
      <c r="C7" s="18">
        <f t="shared" si="4"/>
        <v>1.7452464963137196E-2</v>
      </c>
      <c r="D7" s="18">
        <f t="shared" si="4"/>
        <v>3.4899554930950961E-2</v>
      </c>
      <c r="E7" s="18">
        <f t="shared" si="4"/>
        <v>5.2336014174534068E-2</v>
      </c>
      <c r="F7" s="18">
        <f t="shared" si="4"/>
        <v>6.9756531379671347E-2</v>
      </c>
      <c r="G7" s="18">
        <f t="shared" si="4"/>
        <v>8.7155800088246804E-2</v>
      </c>
      <c r="H7" s="18">
        <f t="shared" si="4"/>
        <v>0.10452852031464212</v>
      </c>
      <c r="I7" s="18">
        <f t="shared" si="4"/>
        <v>0.13052624882977576</v>
      </c>
      <c r="J7" s="18">
        <f t="shared" si="4"/>
        <v>0.17364823355847955</v>
      </c>
      <c r="K7" s="18">
        <f t="shared" si="4"/>
        <v>0.25881909961240313</v>
      </c>
      <c r="L7" s="18">
        <f t="shared" si="4"/>
        <v>0.34202019655387228</v>
      </c>
      <c r="M7" s="18">
        <f t="shared" si="4"/>
        <v>0.42261831381855569</v>
      </c>
      <c r="N7" s="18">
        <f t="shared" si="4"/>
        <v>0.50000005108850898</v>
      </c>
      <c r="O7" s="18">
        <f t="shared" si="4"/>
        <v>0.70710683053665035</v>
      </c>
    </row>
    <row r="8" spans="1:15" s="67" customFormat="1" ht="0.95" customHeight="1">
      <c r="A8" s="66" t="s">
        <v>41</v>
      </c>
      <c r="B8" s="62">
        <f t="shared" ref="B8:O8" si="5">$A$23/1000</f>
        <v>11</v>
      </c>
      <c r="C8" s="62">
        <f t="shared" si="5"/>
        <v>11</v>
      </c>
      <c r="D8" s="62">
        <f t="shared" si="5"/>
        <v>11</v>
      </c>
      <c r="E8" s="62">
        <f t="shared" si="5"/>
        <v>11</v>
      </c>
      <c r="F8" s="62">
        <f t="shared" si="5"/>
        <v>11</v>
      </c>
      <c r="G8" s="62">
        <f t="shared" si="5"/>
        <v>11</v>
      </c>
      <c r="H8" s="62">
        <f t="shared" si="5"/>
        <v>11</v>
      </c>
      <c r="I8" s="62">
        <f t="shared" si="5"/>
        <v>11</v>
      </c>
      <c r="J8" s="62">
        <f t="shared" si="5"/>
        <v>11</v>
      </c>
      <c r="K8" s="62">
        <f t="shared" si="5"/>
        <v>11</v>
      </c>
      <c r="L8" s="62">
        <f t="shared" si="5"/>
        <v>11</v>
      </c>
      <c r="M8" s="62">
        <f t="shared" si="5"/>
        <v>11</v>
      </c>
      <c r="N8" s="62">
        <f t="shared" si="5"/>
        <v>11</v>
      </c>
      <c r="O8" s="62">
        <f t="shared" si="5"/>
        <v>11</v>
      </c>
    </row>
    <row r="9" spans="1:15" s="67" customFormat="1" ht="0.95" customHeight="1">
      <c r="A9" s="59" t="s">
        <v>42</v>
      </c>
      <c r="B9" s="68">
        <f>POWER(B3,2)</f>
        <v>0</v>
      </c>
      <c r="C9" s="68">
        <f>POWER(C3,2)</f>
        <v>3.0458648006181948E-4</v>
      </c>
      <c r="D9" s="68">
        <f>POWER(D3,2)</f>
        <v>1.2179748285519321E-3</v>
      </c>
      <c r="E9" s="68">
        <f>POWER(E3,2)</f>
        <v>2.7390522225023534E-3</v>
      </c>
      <c r="F9" s="68">
        <f>POWER(F3,2)</f>
        <v>4.8659654634757837E-3</v>
      </c>
      <c r="G9" s="68">
        <f t="shared" ref="G9:O9" si="6">POWER(G3,2)</f>
        <v>7.5961232354023623E-3</v>
      </c>
      <c r="H9" s="68">
        <f t="shared" si="6"/>
        <v>1.0926199261699033E-2</v>
      </c>
      <c r="I9" s="68">
        <f t="shared" si="6"/>
        <v>1.7037086277546725E-2</v>
      </c>
      <c r="J9" s="68">
        <f t="shared" si="6"/>
        <v>3.0153688588779776E-2</v>
      </c>
      <c r="K9" s="68">
        <f t="shared" si="6"/>
        <v>6.6987295874872635E-2</v>
      </c>
      <c r="L9" s="68">
        <f t="shared" si="6"/>
        <v>0.11697777461308265</v>
      </c>
      <c r="M9" s="68">
        <f t="shared" si="6"/>
        <v>0.17860618945504103</v>
      </c>
      <c r="N9" s="68">
        <f t="shared" si="6"/>
        <v>0.2499999922649796</v>
      </c>
      <c r="O9" s="68">
        <f t="shared" si="6"/>
        <v>0.49999998660255179</v>
      </c>
    </row>
    <row r="10" spans="1:15" s="67" customFormat="1" ht="0.95" customHeight="1">
      <c r="A10" s="66" t="s">
        <v>43</v>
      </c>
      <c r="B10" s="68">
        <f>B8/4250</f>
        <v>2.5882352941176473E-3</v>
      </c>
      <c r="C10" s="68">
        <f>C8/4250</f>
        <v>2.5882352941176473E-3</v>
      </c>
      <c r="D10" s="68">
        <f>D8/4250</f>
        <v>2.5882352941176473E-3</v>
      </c>
      <c r="E10" s="68">
        <f>E8/4250</f>
        <v>2.5882352941176473E-3</v>
      </c>
      <c r="F10" s="68">
        <f>F8/4250</f>
        <v>2.5882352941176473E-3</v>
      </c>
      <c r="G10" s="68">
        <f t="shared" ref="G10:O10" si="7">G8/4250</f>
        <v>2.5882352941176473E-3</v>
      </c>
      <c r="H10" s="68">
        <f t="shared" si="7"/>
        <v>2.5882352941176473E-3</v>
      </c>
      <c r="I10" s="68">
        <f t="shared" si="7"/>
        <v>2.5882352941176473E-3</v>
      </c>
      <c r="J10" s="68">
        <f t="shared" si="7"/>
        <v>2.5882352941176473E-3</v>
      </c>
      <c r="K10" s="68">
        <f t="shared" si="7"/>
        <v>2.5882352941176473E-3</v>
      </c>
      <c r="L10" s="68">
        <f t="shared" si="7"/>
        <v>2.5882352941176473E-3</v>
      </c>
      <c r="M10" s="68">
        <f t="shared" si="7"/>
        <v>2.5882352941176473E-3</v>
      </c>
      <c r="N10" s="68">
        <f t="shared" si="7"/>
        <v>2.5882352941176473E-3</v>
      </c>
      <c r="O10" s="68">
        <f t="shared" si="7"/>
        <v>2.5882352941176473E-3</v>
      </c>
    </row>
    <row r="11" spans="1:15" s="67" customFormat="1" ht="0.95" customHeight="1">
      <c r="A11" s="66" t="s">
        <v>44</v>
      </c>
      <c r="B11" s="68">
        <f>POWER(B9+B10,0.5)</f>
        <v>5.0874701906916835E-2</v>
      </c>
      <c r="C11" s="68">
        <f>POWER(C9+C10,0.5)</f>
        <v>5.3784958623944917E-2</v>
      </c>
      <c r="D11" s="68">
        <f>POWER(D9+D10,0.5)</f>
        <v>6.1694490213223895E-2</v>
      </c>
      <c r="E11" s="68">
        <f>POWER(E9+E10,0.5)</f>
        <v>7.2988269719318599E-2</v>
      </c>
      <c r="F11" s="68">
        <f>POWER(F9+F10,0.5)</f>
        <v>8.6337713414205208E-2</v>
      </c>
      <c r="G11" s="68">
        <f t="shared" ref="G11:O11" si="8">POWER(G9+G10,0.5)</f>
        <v>0.1009175828561109</v>
      </c>
      <c r="H11" s="68">
        <f t="shared" si="8"/>
        <v>0.11625160022905784</v>
      </c>
      <c r="I11" s="68">
        <f t="shared" si="8"/>
        <v>0.14009040499500447</v>
      </c>
      <c r="J11" s="68">
        <f t="shared" si="8"/>
        <v>0.18094729587064134</v>
      </c>
      <c r="K11" s="68">
        <f t="shared" si="8"/>
        <v>0.26377174065655756</v>
      </c>
      <c r="L11" s="68">
        <f t="shared" si="8"/>
        <v>0.34578318337825553</v>
      </c>
      <c r="M11" s="68">
        <f t="shared" si="8"/>
        <v>0.42566938432210355</v>
      </c>
      <c r="N11" s="68">
        <f t="shared" si="8"/>
        <v>0.50258156309110391</v>
      </c>
      <c r="O11" s="68">
        <f t="shared" si="8"/>
        <v>0.70893456813493683</v>
      </c>
    </row>
    <row r="12" spans="1:15" s="67" customFormat="1" ht="0.95" customHeight="1">
      <c r="A12" s="66" t="s">
        <v>45</v>
      </c>
      <c r="B12" s="18">
        <f>8500*(-B3+B11)</f>
        <v>432.43496620879307</v>
      </c>
      <c r="C12" s="18">
        <f>8500*(-C3+C11)</f>
        <v>308.82669611686561</v>
      </c>
      <c r="D12" s="18">
        <f>8500*(-D3+D11)</f>
        <v>227.75744989931991</v>
      </c>
      <c r="E12" s="18">
        <f>8500*(-E3+E11)</f>
        <v>175.54467213066849</v>
      </c>
      <c r="F12" s="18">
        <f>8500*(-F3+F11)</f>
        <v>140.9405472935378</v>
      </c>
      <c r="G12" s="18">
        <f t="shared" ref="G12:O12" si="9">8500*(-G3+G11)</f>
        <v>116.97565352684475</v>
      </c>
      <c r="H12" s="18">
        <f t="shared" si="9"/>
        <v>99.646679272533603</v>
      </c>
      <c r="I12" s="18">
        <f t="shared" si="9"/>
        <v>81.295827404444012</v>
      </c>
      <c r="J12" s="18">
        <f t="shared" si="9"/>
        <v>62.042529653375198</v>
      </c>
      <c r="K12" s="18">
        <f t="shared" si="9"/>
        <v>42.097948875313399</v>
      </c>
      <c r="L12" s="18">
        <f t="shared" si="9"/>
        <v>31.985888007258325</v>
      </c>
      <c r="M12" s="18">
        <f t="shared" si="9"/>
        <v>25.934599280157013</v>
      </c>
      <c r="N12" s="18">
        <f t="shared" si="9"/>
        <v>21.943352022057134</v>
      </c>
      <c r="O12" s="18">
        <f t="shared" si="9"/>
        <v>15.536269585434749</v>
      </c>
    </row>
    <row r="13" spans="1:15" s="71" customFormat="1" ht="0.95" customHeight="1">
      <c r="A13" s="69" t="s">
        <v>47</v>
      </c>
      <c r="B13" s="70">
        <f>$A$17</f>
        <v>0</v>
      </c>
      <c r="C13" s="70">
        <f t="shared" ref="C13:O13" si="10">$A$17</f>
        <v>0</v>
      </c>
      <c r="D13" s="70">
        <f t="shared" si="10"/>
        <v>0</v>
      </c>
      <c r="E13" s="70">
        <f t="shared" si="10"/>
        <v>0</v>
      </c>
      <c r="F13" s="70">
        <f t="shared" si="10"/>
        <v>0</v>
      </c>
      <c r="G13" s="70">
        <f t="shared" si="10"/>
        <v>0</v>
      </c>
      <c r="H13" s="70">
        <f t="shared" si="10"/>
        <v>0</v>
      </c>
      <c r="I13" s="70">
        <f t="shared" si="10"/>
        <v>0</v>
      </c>
      <c r="J13" s="70">
        <f t="shared" si="10"/>
        <v>0</v>
      </c>
      <c r="K13" s="70">
        <f t="shared" si="10"/>
        <v>0</v>
      </c>
      <c r="L13" s="70">
        <f t="shared" si="10"/>
        <v>0</v>
      </c>
      <c r="M13" s="70">
        <f t="shared" si="10"/>
        <v>0</v>
      </c>
      <c r="N13" s="70">
        <f t="shared" si="10"/>
        <v>0</v>
      </c>
      <c r="O13" s="70">
        <f t="shared" si="10"/>
        <v>0</v>
      </c>
    </row>
    <row r="14" spans="1:15" s="71" customFormat="1" ht="0.95" customHeight="1">
      <c r="A14" s="69" t="s">
        <v>46</v>
      </c>
      <c r="B14" s="70">
        <f>$A$17+40*LOG(B6/B12)</f>
        <v>-225.43683213072998</v>
      </c>
      <c r="C14" s="70">
        <f t="shared" ref="C14:O14" si="11">$A$17+40*LOG(C6/C12)</f>
        <v>-219.58859341202924</v>
      </c>
      <c r="D14" s="70">
        <f t="shared" si="11"/>
        <v>-214.2989036624204</v>
      </c>
      <c r="E14" s="70">
        <f t="shared" si="11"/>
        <v>-209.77550611779353</v>
      </c>
      <c r="F14" s="70">
        <f t="shared" si="11"/>
        <v>-205.96143814383666</v>
      </c>
      <c r="G14" s="70">
        <f t="shared" si="11"/>
        <v>-202.72381920857498</v>
      </c>
      <c r="H14" s="70">
        <f t="shared" si="11"/>
        <v>-199.93851321623418</v>
      </c>
      <c r="I14" s="70">
        <f t="shared" si="11"/>
        <v>-196.40273022143589</v>
      </c>
      <c r="J14" s="70">
        <f t="shared" si="11"/>
        <v>-191.70757987778703</v>
      </c>
      <c r="K14" s="70">
        <f t="shared" si="11"/>
        <v>-184.97043745448741</v>
      </c>
      <c r="L14" s="70">
        <f t="shared" si="11"/>
        <v>-180.19833649234019</v>
      </c>
      <c r="M14" s="70">
        <f t="shared" si="11"/>
        <v>-176.55518168098274</v>
      </c>
      <c r="N14" s="70">
        <f t="shared" si="11"/>
        <v>-173.65211881010765</v>
      </c>
      <c r="O14" s="70">
        <f t="shared" si="11"/>
        <v>-167.65386994038138</v>
      </c>
    </row>
    <row r="15" spans="1:15" s="61" customFormat="1" ht="12" customHeight="1">
      <c r="B15" s="43"/>
      <c r="C15" s="43"/>
      <c r="D15" s="43"/>
      <c r="E15" s="43"/>
      <c r="F15" s="43"/>
      <c r="G15" s="43"/>
      <c r="H15" s="43"/>
      <c r="I15" s="43"/>
      <c r="J15" s="43"/>
      <c r="K15" s="43"/>
      <c r="L15" s="43"/>
      <c r="M15" s="43"/>
      <c r="N15" s="43"/>
      <c r="O15" s="43"/>
    </row>
    <row r="16" spans="1:15" ht="15.75" customHeight="1">
      <c r="A16" s="51" t="s">
        <v>39</v>
      </c>
    </row>
    <row r="17" spans="1:1" ht="15.75" customHeight="1">
      <c r="A17" s="52">
        <f>'Equation du radar'!C14</f>
        <v>0</v>
      </c>
    </row>
    <row r="18" spans="1:1" ht="5.25" customHeight="1">
      <c r="A18" s="50"/>
    </row>
    <row r="19" spans="1:1" ht="14.25" customHeight="1">
      <c r="A19" s="53" t="s">
        <v>38</v>
      </c>
    </row>
    <row r="20" spans="1:1" ht="14.25" customHeight="1">
      <c r="A20" s="54">
        <f>'Equation du radar'!H22</f>
        <v>1E-3</v>
      </c>
    </row>
    <row r="22" spans="1:1" ht="16.5" customHeight="1">
      <c r="A22" s="15" t="s">
        <v>40</v>
      </c>
    </row>
    <row r="23" spans="1:1" ht="18.75" customHeight="1">
      <c r="A23" s="49">
        <v>11000</v>
      </c>
    </row>
    <row r="25" spans="1:1" ht="11.25" customHeight="1"/>
    <row r="26" spans="1:1" ht="11.25" customHeight="1"/>
    <row r="27" spans="1:1" ht="11.25" customHeight="1"/>
    <row r="28" spans="1:1" ht="11.25" customHeight="1"/>
    <row r="29" spans="1:1" ht="11.25" customHeight="1"/>
  </sheetData>
  <sheetProtection password="8EBD" sheet="1" objects="1" scenarios="1"/>
  <phoneticPr fontId="0" type="noConversion"/>
  <printOptions horizontalCentered="1" verticalCentered="1"/>
  <pageMargins left="0.56000000000000005" right="0.49" top="0.97" bottom="0.48" header="0.51181102362204722" footer="0.51181102362204722"/>
  <pageSetup paperSize="9" scale="120" orientation="landscape" horizontalDpi="4294967294" verticalDpi="0" r:id="rId1"/>
  <headerFooter alignWithMargins="0">
    <oddHeader>&amp;L&amp;F&amp;C&amp;A&amp;R&amp;D</oddHeader>
  </headerFooter>
  <drawing r:id="rId2"/>
</worksheet>
</file>

<file path=xl/worksheets/sheet6.xml><?xml version="1.0" encoding="utf-8"?>
<worksheet xmlns="http://schemas.openxmlformats.org/spreadsheetml/2006/main" xmlns:r="http://schemas.openxmlformats.org/officeDocument/2006/relationships">
  <dimension ref="A1:DT55"/>
  <sheetViews>
    <sheetView showGridLines="0" showRowColHeaders="0" topLeftCell="A13" zoomScaleNormal="100" workbookViewId="0">
      <selection activeCell="BJ59" sqref="BJ59"/>
    </sheetView>
  </sheetViews>
  <sheetFormatPr baseColWidth="10" defaultColWidth="5.7109375" defaultRowHeight="15" customHeight="1"/>
  <cols>
    <col min="1" max="1" width="15.42578125" style="17" customWidth="1"/>
    <col min="2" max="9" width="2.42578125" style="17" hidden="1" customWidth="1"/>
    <col min="10" max="57" width="5.7109375" style="1" hidden="1" customWidth="1"/>
    <col min="58" max="58" width="7.140625" style="19" customWidth="1"/>
    <col min="59" max="65" width="5.7109375" style="1" customWidth="1"/>
    <col min="66" max="66" width="5.7109375" style="19" customWidth="1"/>
    <col min="67" max="73" width="5.7109375" style="1" customWidth="1"/>
    <col min="74" max="74" width="5.7109375" style="19" customWidth="1"/>
    <col min="75" max="81" width="5.7109375" style="1" customWidth="1"/>
    <col min="82" max="82" width="5.7109375" style="19" customWidth="1"/>
    <col min="83" max="89" width="5.7109375" style="1" customWidth="1"/>
    <col min="90" max="90" width="5.7109375" style="19" customWidth="1"/>
    <col min="91" max="97" width="5.7109375" style="1" customWidth="1"/>
    <col min="98" max="98" width="5.7109375" style="19" customWidth="1"/>
    <col min="99" max="105" width="5.7109375" style="1" customWidth="1"/>
    <col min="106" max="106" width="5.7109375" style="19" customWidth="1"/>
    <col min="107" max="16384" width="5.7109375" style="1"/>
  </cols>
  <sheetData>
    <row r="1" spans="1:124" s="113" customFormat="1" ht="2.1" customHeight="1">
      <c r="A1" s="111" t="s">
        <v>11</v>
      </c>
      <c r="B1" s="111"/>
      <c r="C1" s="111"/>
      <c r="D1" s="111"/>
      <c r="E1" s="111"/>
      <c r="F1" s="111"/>
      <c r="G1" s="111"/>
      <c r="H1" s="111"/>
      <c r="I1" s="111"/>
      <c r="J1" s="112">
        <v>-6</v>
      </c>
      <c r="K1" s="113">
        <v>-5.875</v>
      </c>
      <c r="L1" s="113">
        <v>-5.75</v>
      </c>
      <c r="M1" s="113">
        <v>-5.625</v>
      </c>
      <c r="N1" s="113">
        <v>-5.5</v>
      </c>
      <c r="O1" s="113">
        <v>-5.375</v>
      </c>
      <c r="P1" s="113">
        <v>-5.25</v>
      </c>
      <c r="Q1" s="113">
        <v>-5.125</v>
      </c>
      <c r="R1" s="112">
        <v>-5</v>
      </c>
      <c r="S1" s="113">
        <v>-4.875</v>
      </c>
      <c r="T1" s="113">
        <v>-4.75</v>
      </c>
      <c r="U1" s="113">
        <v>-4.625</v>
      </c>
      <c r="V1" s="113">
        <v>-4.5</v>
      </c>
      <c r="W1" s="113">
        <v>-4.375</v>
      </c>
      <c r="X1" s="113">
        <v>-4.25</v>
      </c>
      <c r="Y1" s="113">
        <v>-4.125</v>
      </c>
      <c r="Z1" s="112">
        <v>-4</v>
      </c>
      <c r="AA1" s="113">
        <v>-3.875</v>
      </c>
      <c r="AB1" s="113">
        <v>-3.75</v>
      </c>
      <c r="AC1" s="113">
        <v>-3.625</v>
      </c>
      <c r="AD1" s="113">
        <v>-3.5</v>
      </c>
      <c r="AE1" s="113">
        <v>-3.375</v>
      </c>
      <c r="AF1" s="113">
        <v>-3.25</v>
      </c>
      <c r="AG1" s="113">
        <v>-3.125</v>
      </c>
      <c r="AH1" s="112">
        <v>-3</v>
      </c>
      <c r="AI1" s="113">
        <v>-2.875</v>
      </c>
      <c r="AJ1" s="113">
        <v>-2.75</v>
      </c>
      <c r="AK1" s="113">
        <v>-2.625</v>
      </c>
      <c r="AL1" s="113">
        <v>-2.5</v>
      </c>
      <c r="AM1" s="113">
        <v>-2.375</v>
      </c>
      <c r="AN1" s="113">
        <v>-2.25</v>
      </c>
      <c r="AO1" s="113">
        <v>-2.125</v>
      </c>
      <c r="AP1" s="112">
        <v>-2</v>
      </c>
      <c r="AQ1" s="113">
        <v>-1.875</v>
      </c>
      <c r="AR1" s="113">
        <v>-1.75</v>
      </c>
      <c r="AS1" s="113">
        <v>-1.625</v>
      </c>
      <c r="AT1" s="113">
        <v>-1.5</v>
      </c>
      <c r="AU1" s="113">
        <v>-1.375</v>
      </c>
      <c r="AV1" s="113">
        <v>-1.25</v>
      </c>
      <c r="AW1" s="113">
        <v>-1.125</v>
      </c>
      <c r="AX1" s="112">
        <v>-1</v>
      </c>
      <c r="AY1" s="113">
        <v>-0.875</v>
      </c>
      <c r="AZ1" s="113">
        <v>-0.75</v>
      </c>
      <c r="BA1" s="113">
        <v>-0.625</v>
      </c>
      <c r="BB1" s="113">
        <v>-0.5</v>
      </c>
      <c r="BC1" s="113">
        <v>-0.375</v>
      </c>
      <c r="BD1" s="113">
        <v>-0.25</v>
      </c>
      <c r="BE1" s="113">
        <v>-0.125</v>
      </c>
      <c r="BF1" s="112">
        <v>0</v>
      </c>
      <c r="BG1" s="113">
        <v>0.125</v>
      </c>
      <c r="BH1" s="113">
        <v>0.25</v>
      </c>
      <c r="BI1" s="113">
        <v>0.375</v>
      </c>
      <c r="BJ1" s="113">
        <v>0.5</v>
      </c>
      <c r="BK1" s="113">
        <v>0.625</v>
      </c>
      <c r="BL1" s="113">
        <v>0.75</v>
      </c>
      <c r="BM1" s="113">
        <v>0.875</v>
      </c>
      <c r="BN1" s="112">
        <v>1</v>
      </c>
      <c r="BO1" s="113">
        <v>1.125</v>
      </c>
      <c r="BP1" s="113">
        <v>1.25</v>
      </c>
      <c r="BQ1" s="113">
        <v>1.375</v>
      </c>
      <c r="BR1" s="113">
        <v>1.5</v>
      </c>
      <c r="BS1" s="113">
        <v>1.625</v>
      </c>
      <c r="BT1" s="113">
        <v>1.75</v>
      </c>
      <c r="BU1" s="113">
        <v>1.875</v>
      </c>
      <c r="BV1" s="112">
        <v>2</v>
      </c>
      <c r="BW1" s="113">
        <v>2.125</v>
      </c>
      <c r="BX1" s="113">
        <v>2.25</v>
      </c>
      <c r="BY1" s="113">
        <v>2.375</v>
      </c>
      <c r="BZ1" s="113">
        <v>2.5</v>
      </c>
      <c r="CA1" s="113">
        <v>2.625</v>
      </c>
      <c r="CB1" s="113">
        <v>2.75</v>
      </c>
      <c r="CC1" s="113">
        <v>2.875</v>
      </c>
      <c r="CD1" s="112">
        <v>3</v>
      </c>
      <c r="CE1" s="113">
        <v>3.125</v>
      </c>
      <c r="CF1" s="113">
        <v>3.25</v>
      </c>
      <c r="CG1" s="113">
        <v>3.375</v>
      </c>
      <c r="CH1" s="113">
        <v>3.5</v>
      </c>
      <c r="CI1" s="113">
        <v>3.625</v>
      </c>
      <c r="CJ1" s="113">
        <v>3.75</v>
      </c>
      <c r="CK1" s="113">
        <v>3.875</v>
      </c>
      <c r="CL1" s="112">
        <v>4</v>
      </c>
      <c r="CM1" s="113">
        <v>4.125</v>
      </c>
      <c r="CN1" s="113">
        <v>4.25</v>
      </c>
      <c r="CO1" s="113">
        <v>4.375</v>
      </c>
      <c r="CP1" s="113">
        <v>4.5</v>
      </c>
      <c r="CQ1" s="113">
        <v>4.625</v>
      </c>
      <c r="CR1" s="113">
        <v>4.75</v>
      </c>
      <c r="CS1" s="113">
        <v>4.875</v>
      </c>
      <c r="CT1" s="112">
        <v>5</v>
      </c>
      <c r="CU1" s="113">
        <v>5.125</v>
      </c>
      <c r="CV1" s="113">
        <v>5.25</v>
      </c>
      <c r="CW1" s="113">
        <v>5.375</v>
      </c>
      <c r="CX1" s="113">
        <v>5.5</v>
      </c>
      <c r="CY1" s="113">
        <v>5.625</v>
      </c>
      <c r="CZ1" s="113">
        <v>5.75</v>
      </c>
      <c r="DA1" s="113">
        <v>5.875</v>
      </c>
      <c r="DB1" s="112">
        <v>6</v>
      </c>
      <c r="DC1" s="113">
        <v>7.5</v>
      </c>
      <c r="DD1" s="113">
        <v>10</v>
      </c>
      <c r="DE1" s="113">
        <v>15</v>
      </c>
      <c r="DF1" s="113">
        <v>20</v>
      </c>
      <c r="DG1" s="113">
        <v>25</v>
      </c>
      <c r="DH1" s="113">
        <v>30</v>
      </c>
      <c r="DI1" s="113">
        <v>45</v>
      </c>
    </row>
    <row r="2" spans="1:124" s="113" customFormat="1" ht="2.1" customHeight="1">
      <c r="A2" s="111" t="s">
        <v>58</v>
      </c>
      <c r="B2" s="111"/>
      <c r="C2" s="111"/>
      <c r="D2" s="111"/>
      <c r="E2" s="111"/>
      <c r="F2" s="111"/>
      <c r="G2" s="111"/>
      <c r="H2" s="111"/>
      <c r="I2" s="111"/>
      <c r="J2" s="112">
        <f>J1*3.14159/180</f>
        <v>-0.10471966666666666</v>
      </c>
      <c r="K2" s="113">
        <f t="shared" ref="K2:BD2" si="0">K1*3.14159/180</f>
        <v>-0.10253800694444444</v>
      </c>
      <c r="L2" s="113">
        <f t="shared" si="0"/>
        <v>-0.10035634722222221</v>
      </c>
      <c r="M2" s="113">
        <f t="shared" si="0"/>
        <v>-9.8174687499999996E-2</v>
      </c>
      <c r="N2" s="113">
        <f t="shared" si="0"/>
        <v>-9.5993027777777781E-2</v>
      </c>
      <c r="O2" s="113">
        <f t="shared" si="0"/>
        <v>-9.3811368055555552E-2</v>
      </c>
      <c r="P2" s="113">
        <f t="shared" si="0"/>
        <v>-9.1629708333333323E-2</v>
      </c>
      <c r="Q2" s="113">
        <f t="shared" si="0"/>
        <v>-8.9448048611111095E-2</v>
      </c>
      <c r="R2" s="112">
        <f t="shared" si="0"/>
        <v>-8.7266388888888893E-2</v>
      </c>
      <c r="S2" s="113">
        <f t="shared" si="0"/>
        <v>-8.5084729166666664E-2</v>
      </c>
      <c r="T2" s="113">
        <f t="shared" si="0"/>
        <v>-8.2903069444444449E-2</v>
      </c>
      <c r="U2" s="113">
        <f t="shared" si="0"/>
        <v>-8.072140972222222E-2</v>
      </c>
      <c r="V2" s="113">
        <f t="shared" si="0"/>
        <v>-7.8539750000000005E-2</v>
      </c>
      <c r="W2" s="113">
        <f t="shared" si="0"/>
        <v>-7.6358090277777776E-2</v>
      </c>
      <c r="X2" s="113">
        <f t="shared" si="0"/>
        <v>-7.4176430555555548E-2</v>
      </c>
      <c r="Y2" s="113">
        <f t="shared" si="0"/>
        <v>-7.1994770833333332E-2</v>
      </c>
      <c r="Z2" s="112">
        <f t="shared" si="0"/>
        <v>-6.9813111111111104E-2</v>
      </c>
      <c r="AA2" s="113">
        <f t="shared" si="0"/>
        <v>-6.7631451388888889E-2</v>
      </c>
      <c r="AB2" s="113">
        <f t="shared" si="0"/>
        <v>-6.544979166666666E-2</v>
      </c>
      <c r="AC2" s="113">
        <f t="shared" si="0"/>
        <v>-6.3268131944444445E-2</v>
      </c>
      <c r="AD2" s="113">
        <f t="shared" si="0"/>
        <v>-6.1086472222222216E-2</v>
      </c>
      <c r="AE2" s="113">
        <f t="shared" si="0"/>
        <v>-5.8904812500000001E-2</v>
      </c>
      <c r="AF2" s="113">
        <f t="shared" si="0"/>
        <v>-5.6723152777777772E-2</v>
      </c>
      <c r="AG2" s="113">
        <f t="shared" si="0"/>
        <v>-5.4541493055555557E-2</v>
      </c>
      <c r="AH2" s="112">
        <f t="shared" si="0"/>
        <v>-5.2359833333333328E-2</v>
      </c>
      <c r="AI2" s="113">
        <f t="shared" si="0"/>
        <v>-5.0178173611111106E-2</v>
      </c>
      <c r="AJ2" s="113">
        <f t="shared" si="0"/>
        <v>-4.7996513888888891E-2</v>
      </c>
      <c r="AK2" s="113">
        <f t="shared" si="0"/>
        <v>-4.5814854166666662E-2</v>
      </c>
      <c r="AL2" s="113">
        <f t="shared" si="0"/>
        <v>-4.3633194444444447E-2</v>
      </c>
      <c r="AM2" s="113">
        <f t="shared" si="0"/>
        <v>-4.1451534722222225E-2</v>
      </c>
      <c r="AN2" s="113">
        <f t="shared" si="0"/>
        <v>-3.9269875000000003E-2</v>
      </c>
      <c r="AO2" s="113">
        <f t="shared" si="0"/>
        <v>-3.7088215277777774E-2</v>
      </c>
      <c r="AP2" s="112">
        <f t="shared" si="0"/>
        <v>-3.4906555555555552E-2</v>
      </c>
      <c r="AQ2" s="113">
        <f t="shared" si="0"/>
        <v>-3.272489583333333E-2</v>
      </c>
      <c r="AR2" s="113">
        <f t="shared" si="0"/>
        <v>-3.0543236111111108E-2</v>
      </c>
      <c r="AS2" s="113">
        <f t="shared" si="0"/>
        <v>-2.8361576388888886E-2</v>
      </c>
      <c r="AT2" s="113">
        <f t="shared" si="0"/>
        <v>-2.6179916666666664E-2</v>
      </c>
      <c r="AU2" s="113">
        <f t="shared" si="0"/>
        <v>-2.3998256944444445E-2</v>
      </c>
      <c r="AV2" s="113">
        <f t="shared" si="0"/>
        <v>-2.1816597222222223E-2</v>
      </c>
      <c r="AW2" s="113">
        <f t="shared" si="0"/>
        <v>-1.9634937500000001E-2</v>
      </c>
      <c r="AX2" s="112">
        <f t="shared" si="0"/>
        <v>-1.7453277777777776E-2</v>
      </c>
      <c r="AY2" s="113">
        <f t="shared" si="0"/>
        <v>-1.5271618055555554E-2</v>
      </c>
      <c r="AZ2" s="113">
        <f t="shared" si="0"/>
        <v>-1.3089958333333332E-2</v>
      </c>
      <c r="BA2" s="113">
        <f t="shared" si="0"/>
        <v>-1.0908298611111112E-2</v>
      </c>
      <c r="BB2" s="113">
        <f t="shared" si="0"/>
        <v>-8.7266388888888879E-3</v>
      </c>
      <c r="BC2" s="113">
        <f t="shared" si="0"/>
        <v>-6.544979166666666E-3</v>
      </c>
      <c r="BD2" s="113">
        <f t="shared" si="0"/>
        <v>-4.363319444444444E-3</v>
      </c>
      <c r="BE2" s="113">
        <f>BE1*3.1415926/180</f>
        <v>-2.1816615277777777E-3</v>
      </c>
      <c r="BF2" s="112">
        <f t="shared" ref="BF2:DI2" si="1">BF1*3.1415926/180</f>
        <v>0</v>
      </c>
      <c r="BG2" s="113">
        <f t="shared" si="1"/>
        <v>2.1816615277777777E-3</v>
      </c>
      <c r="BH2" s="113">
        <f t="shared" si="1"/>
        <v>4.3633230555555555E-3</v>
      </c>
      <c r="BI2" s="113">
        <f t="shared" si="1"/>
        <v>6.5449845833333341E-3</v>
      </c>
      <c r="BJ2" s="113">
        <f t="shared" si="1"/>
        <v>8.726646111111111E-3</v>
      </c>
      <c r="BK2" s="113">
        <f t="shared" si="1"/>
        <v>1.0908307638888889E-2</v>
      </c>
      <c r="BL2" s="113">
        <f t="shared" si="1"/>
        <v>1.3089969166666668E-2</v>
      </c>
      <c r="BM2" s="113">
        <f t="shared" si="1"/>
        <v>1.5271630694444446E-2</v>
      </c>
      <c r="BN2" s="112">
        <f t="shared" si="1"/>
        <v>1.7453292222222222E-2</v>
      </c>
      <c r="BO2" s="113">
        <f t="shared" si="1"/>
        <v>1.963495375E-2</v>
      </c>
      <c r="BP2" s="113">
        <f t="shared" si="1"/>
        <v>2.1816615277777777E-2</v>
      </c>
      <c r="BQ2" s="113">
        <f t="shared" si="1"/>
        <v>2.3998276805555555E-2</v>
      </c>
      <c r="BR2" s="113">
        <f t="shared" si="1"/>
        <v>2.6179938333333336E-2</v>
      </c>
      <c r="BS2" s="113">
        <f t="shared" si="1"/>
        <v>2.8361599861111111E-2</v>
      </c>
      <c r="BT2" s="113">
        <f t="shared" si="1"/>
        <v>3.0543261388888892E-2</v>
      </c>
      <c r="BU2" s="113">
        <f t="shared" si="1"/>
        <v>3.2724922916666663E-2</v>
      </c>
      <c r="BV2" s="112">
        <f t="shared" si="1"/>
        <v>3.4906584444444444E-2</v>
      </c>
      <c r="BW2" s="113">
        <f t="shared" si="1"/>
        <v>3.7088245972222225E-2</v>
      </c>
      <c r="BX2" s="113">
        <f t="shared" si="1"/>
        <v>3.9269907499999999E-2</v>
      </c>
      <c r="BY2" s="113">
        <f t="shared" si="1"/>
        <v>4.1451569027777781E-2</v>
      </c>
      <c r="BZ2" s="113">
        <f t="shared" si="1"/>
        <v>4.3633230555555555E-2</v>
      </c>
      <c r="CA2" s="113">
        <f t="shared" si="1"/>
        <v>4.5814892083333336E-2</v>
      </c>
      <c r="CB2" s="113">
        <f t="shared" si="1"/>
        <v>4.799655361111111E-2</v>
      </c>
      <c r="CC2" s="113">
        <f t="shared" si="1"/>
        <v>5.0178215138888885E-2</v>
      </c>
      <c r="CD2" s="112">
        <f t="shared" si="1"/>
        <v>5.2359876666666673E-2</v>
      </c>
      <c r="CE2" s="113">
        <f t="shared" si="1"/>
        <v>5.4541538194444447E-2</v>
      </c>
      <c r="CF2" s="113">
        <f t="shared" si="1"/>
        <v>5.6723199722222221E-2</v>
      </c>
      <c r="CG2" s="113">
        <f t="shared" si="1"/>
        <v>5.8904861249999996E-2</v>
      </c>
      <c r="CH2" s="113">
        <f t="shared" si="1"/>
        <v>6.1086522777777784E-2</v>
      </c>
      <c r="CI2" s="113">
        <f t="shared" si="1"/>
        <v>6.3268184305555558E-2</v>
      </c>
      <c r="CJ2" s="113">
        <f t="shared" si="1"/>
        <v>6.5449845833333326E-2</v>
      </c>
      <c r="CK2" s="113">
        <f t="shared" si="1"/>
        <v>6.7631507361111121E-2</v>
      </c>
      <c r="CL2" s="112">
        <f t="shared" si="1"/>
        <v>6.9813168888888888E-2</v>
      </c>
      <c r="CM2" s="113">
        <f t="shared" si="1"/>
        <v>7.1994830416666669E-2</v>
      </c>
      <c r="CN2" s="113">
        <f t="shared" si="1"/>
        <v>7.417649194444445E-2</v>
      </c>
      <c r="CO2" s="113">
        <f t="shared" si="1"/>
        <v>7.6358153472222218E-2</v>
      </c>
      <c r="CP2" s="113">
        <f t="shared" si="1"/>
        <v>7.8539814999999999E-2</v>
      </c>
      <c r="CQ2" s="113">
        <f t="shared" si="1"/>
        <v>8.072147652777778E-2</v>
      </c>
      <c r="CR2" s="113">
        <f t="shared" si="1"/>
        <v>8.2903138055555561E-2</v>
      </c>
      <c r="CS2" s="113">
        <f t="shared" si="1"/>
        <v>8.5084799583333329E-2</v>
      </c>
      <c r="CT2" s="112">
        <f t="shared" si="1"/>
        <v>8.726646111111111E-2</v>
      </c>
      <c r="CU2" s="113">
        <f t="shared" si="1"/>
        <v>8.9448122638888877E-2</v>
      </c>
      <c r="CV2" s="113">
        <f t="shared" si="1"/>
        <v>9.1629784166666672E-2</v>
      </c>
      <c r="CW2" s="113">
        <f t="shared" si="1"/>
        <v>9.3811445694444454E-2</v>
      </c>
      <c r="CX2" s="113">
        <f t="shared" si="1"/>
        <v>9.5993107222222221E-2</v>
      </c>
      <c r="CY2" s="113">
        <f t="shared" si="1"/>
        <v>9.8174768750000002E-2</v>
      </c>
      <c r="CZ2" s="113">
        <f t="shared" si="1"/>
        <v>0.10035643027777777</v>
      </c>
      <c r="DA2" s="113">
        <f t="shared" si="1"/>
        <v>0.10253809180555555</v>
      </c>
      <c r="DB2" s="112">
        <f t="shared" si="1"/>
        <v>0.10471975333333335</v>
      </c>
      <c r="DC2" s="113">
        <f t="shared" si="1"/>
        <v>0.13089969166666665</v>
      </c>
      <c r="DD2" s="113">
        <f t="shared" si="1"/>
        <v>0.17453292222222222</v>
      </c>
      <c r="DE2" s="113">
        <f t="shared" si="1"/>
        <v>0.2617993833333333</v>
      </c>
      <c r="DF2" s="113">
        <f t="shared" si="1"/>
        <v>0.34906584444444444</v>
      </c>
      <c r="DG2" s="113">
        <f t="shared" si="1"/>
        <v>0.43633230555555558</v>
      </c>
      <c r="DH2" s="113">
        <f t="shared" si="1"/>
        <v>0.5235987666666666</v>
      </c>
      <c r="DI2" s="113">
        <f t="shared" si="1"/>
        <v>0.78539815000000002</v>
      </c>
    </row>
    <row r="3" spans="1:124" s="116" customFormat="1" ht="2.1" customHeight="1">
      <c r="A3" s="114" t="s">
        <v>12</v>
      </c>
      <c r="B3" s="114"/>
      <c r="C3" s="114"/>
      <c r="D3" s="114"/>
      <c r="E3" s="114"/>
      <c r="F3" s="114"/>
      <c r="G3" s="114"/>
      <c r="H3" s="114"/>
      <c r="I3" s="114"/>
      <c r="J3" s="115">
        <f>SIN(J2)</f>
        <v>-0.1045283752992147</v>
      </c>
      <c r="K3" s="116">
        <f t="shared" ref="K3:BV3" si="2">SIN(K2)</f>
        <v>-0.10235841987964674</v>
      </c>
      <c r="L3" s="116">
        <f t="shared" si="2"/>
        <v>-0.10018797727113007</v>
      </c>
      <c r="M3" s="116">
        <f t="shared" si="2"/>
        <v>-9.8017057804184224E-2</v>
      </c>
      <c r="N3" s="116">
        <f t="shared" si="2"/>
        <v>-9.5845671811598365E-2</v>
      </c>
      <c r="O3" s="116">
        <f t="shared" si="2"/>
        <v>-9.3673829628382124E-2</v>
      </c>
      <c r="P3" s="116">
        <f t="shared" si="2"/>
        <v>-9.1501541591716501E-2</v>
      </c>
      <c r="Q3" s="116">
        <f t="shared" si="2"/>
        <v>-8.9328818040904576E-2</v>
      </c>
      <c r="R3" s="115">
        <f t="shared" si="2"/>
        <v>-8.7155669317322298E-2</v>
      </c>
      <c r="S3" s="116">
        <f t="shared" si="2"/>
        <v>-8.4982105764369278E-2</v>
      </c>
      <c r="T3" s="116">
        <f t="shared" si="2"/>
        <v>-8.2808137727419601E-2</v>
      </c>
      <c r="U3" s="116">
        <f t="shared" si="2"/>
        <v>-8.0633775553772519E-2</v>
      </c>
      <c r="V3" s="116">
        <f t="shared" si="2"/>
        <v>-7.8459029592603244E-2</v>
      </c>
      <c r="W3" s="116">
        <f t="shared" si="2"/>
        <v>-7.6283910194913651E-2</v>
      </c>
      <c r="X3" s="116">
        <f t="shared" si="2"/>
        <v>-7.4108427713483097E-2</v>
      </c>
      <c r="Y3" s="116">
        <f t="shared" si="2"/>
        <v>-7.193259250281904E-2</v>
      </c>
      <c r="Z3" s="115">
        <f t="shared" si="2"/>
        <v>-6.9756414919107793E-2</v>
      </c>
      <c r="AA3" s="116">
        <f t="shared" si="2"/>
        <v>-6.7579905320165293E-2</v>
      </c>
      <c r="AB3" s="116">
        <f t="shared" si="2"/>
        <v>-6.5403074065387673E-2</v>
      </c>
      <c r="AC3" s="116">
        <f t="shared" si="2"/>
        <v>-6.3225931515702105E-2</v>
      </c>
      <c r="AD3" s="116">
        <f t="shared" si="2"/>
        <v>-6.104848803351736E-2</v>
      </c>
      <c r="AE3" s="116">
        <f t="shared" si="2"/>
        <v>-5.8870753982674572E-2</v>
      </c>
      <c r="AF3" s="116">
        <f t="shared" si="2"/>
        <v>-5.6692739728397848E-2</v>
      </c>
      <c r="AG3" s="116">
        <f t="shared" si="2"/>
        <v>-5.4514455637244989E-2</v>
      </c>
      <c r="AH3" s="115">
        <f t="shared" si="2"/>
        <v>-5.2335912077058101E-2</v>
      </c>
      <c r="AI3" s="116">
        <f t="shared" si="2"/>
        <v>-5.0157119416914281E-2</v>
      </c>
      <c r="AJ3" s="116">
        <f t="shared" si="2"/>
        <v>-4.7978088027076246E-2</v>
      </c>
      <c r="AK3" s="116">
        <f t="shared" si="2"/>
        <v>-4.5798828278942973E-2</v>
      </c>
      <c r="AL3" s="116">
        <f t="shared" si="2"/>
        <v>-4.3619350545000365E-2</v>
      </c>
      <c r="AM3" s="116">
        <f t="shared" si="2"/>
        <v>-4.1439665198771826E-2</v>
      </c>
      <c r="AN3" s="116">
        <f t="shared" si="2"/>
        <v>-3.9259782614768944E-2</v>
      </c>
      <c r="AO3" s="116">
        <f t="shared" si="2"/>
        <v>-3.7079713168442073E-2</v>
      </c>
      <c r="AP3" s="115">
        <f t="shared" si="2"/>
        <v>-3.4899467236130972E-2</v>
      </c>
      <c r="AQ3" s="116">
        <f t="shared" si="2"/>
        <v>-3.2719055195015417E-2</v>
      </c>
      <c r="AR3" s="116">
        <f t="shared" si="2"/>
        <v>-3.0538487423065783E-2</v>
      </c>
      <c r="AS3" s="116">
        <f t="shared" si="2"/>
        <v>-2.8357774298993676E-2</v>
      </c>
      <c r="AT3" s="116">
        <f t="shared" si="2"/>
        <v>-2.6176926202202525E-2</v>
      </c>
      <c r="AU3" s="116">
        <f t="shared" si="2"/>
        <v>-2.3995953512738186E-2</v>
      </c>
      <c r="AV3" s="116">
        <f t="shared" si="2"/>
        <v>-2.1814866611239516E-2</v>
      </c>
      <c r="AW3" s="116">
        <f t="shared" si="2"/>
        <v>-1.9633675878888996E-2</v>
      </c>
      <c r="AX3" s="115">
        <f t="shared" si="2"/>
        <v>-1.7452391697363293E-2</v>
      </c>
      <c r="AY3" s="116">
        <f t="shared" si="2"/>
        <v>-1.5271024448783871E-2</v>
      </c>
      <c r="AZ3" s="116">
        <f t="shared" si="2"/>
        <v>-1.3089584515667546E-2</v>
      </c>
      <c r="BA3" s="116">
        <f t="shared" si="2"/>
        <v>-1.0908082280877102E-2</v>
      </c>
      <c r="BB3" s="116">
        <f t="shared" si="2"/>
        <v>-8.7265281275718427E-3</v>
      </c>
      <c r="BC3" s="116">
        <f t="shared" si="2"/>
        <v>-6.5449324391581958E-3</v>
      </c>
      <c r="BD3" s="116">
        <f t="shared" si="2"/>
        <v>-4.3633055992402742E-3</v>
      </c>
      <c r="BE3" s="116">
        <f t="shared" si="2"/>
        <v>-2.181659797121724E-3</v>
      </c>
      <c r="BF3" s="115">
        <f t="shared" si="2"/>
        <v>0</v>
      </c>
      <c r="BG3" s="116">
        <f t="shared" si="2"/>
        <v>2.181659797121724E-3</v>
      </c>
      <c r="BH3" s="116">
        <f t="shared" si="2"/>
        <v>4.3633092103170113E-3</v>
      </c>
      <c r="BI3" s="116">
        <f t="shared" si="2"/>
        <v>6.5449378557088482E-3</v>
      </c>
      <c r="BJ3" s="116">
        <f t="shared" si="2"/>
        <v>8.726535349519067E-3</v>
      </c>
      <c r="BK3" s="116">
        <f t="shared" si="2"/>
        <v>1.0908091308117773E-2</v>
      </c>
      <c r="BL3" s="116">
        <f t="shared" si="2"/>
        <v>1.3089595348072766E-2</v>
      </c>
      <c r="BM3" s="116">
        <f t="shared" si="2"/>
        <v>1.5271037086198954E-2</v>
      </c>
      <c r="BN3" s="115">
        <f t="shared" si="2"/>
        <v>1.7452406139607784E-2</v>
      </c>
      <c r="BO3" s="116">
        <f t="shared" si="2"/>
        <v>1.9633692125756656E-2</v>
      </c>
      <c r="BP3" s="116">
        <f t="shared" si="2"/>
        <v>2.1814884662498341E-2</v>
      </c>
      <c r="BQ3" s="116">
        <f t="shared" si="2"/>
        <v>2.3995973368130395E-2</v>
      </c>
      <c r="BR3" s="116">
        <f t="shared" si="2"/>
        <v>2.6176947861444578E-2</v>
      </c>
      <c r="BS3" s="116">
        <f t="shared" si="2"/>
        <v>2.8357797761776243E-2</v>
      </c>
      <c r="BT3" s="116">
        <f t="shared" si="2"/>
        <v>3.053851268905379E-2</v>
      </c>
      <c r="BU3" s="116">
        <f t="shared" si="2"/>
        <v>3.2719082263848009E-2</v>
      </c>
      <c r="BV3" s="115">
        <f t="shared" si="2"/>
        <v>3.4899496107421553E-2</v>
      </c>
      <c r="BW3" s="116">
        <f t="shared" ref="BW3:DI3" si="3">SIN(BW2)</f>
        <v>3.707974384177827E-2</v>
      </c>
      <c r="BX3" s="116">
        <f t="shared" si="3"/>
        <v>3.9259815089712644E-2</v>
      </c>
      <c r="BY3" s="116">
        <f t="shared" si="3"/>
        <v>4.1439699474859162E-2</v>
      </c>
      <c r="BZ3" s="116">
        <f t="shared" si="3"/>
        <v>4.3619386621741724E-2</v>
      </c>
      <c r="CA3" s="116">
        <f t="shared" si="3"/>
        <v>4.5798866155823015E-2</v>
      </c>
      <c r="CB3" s="116">
        <f t="shared" si="3"/>
        <v>4.7978127703553856E-2</v>
      </c>
      <c r="CC3" s="116">
        <f t="shared" si="3"/>
        <v>5.0157160892422642E-2</v>
      </c>
      <c r="CD3" s="115">
        <f t="shared" si="3"/>
        <v>5.2335955351004666E-2</v>
      </c>
      <c r="CE3" s="116">
        <f t="shared" si="3"/>
        <v>5.4514500709011461E-2</v>
      </c>
      <c r="CF3" s="116">
        <f t="shared" si="3"/>
        <v>5.6692786597340228E-2</v>
      </c>
      <c r="CG3" s="116">
        <f t="shared" si="3"/>
        <v>5.8870802648123138E-2</v>
      </c>
      <c r="CH3" s="116">
        <f t="shared" si="3"/>
        <v>6.1048538494776705E-2</v>
      </c>
      <c r="CI3" s="116">
        <f t="shared" si="3"/>
        <v>6.3225983772051075E-2</v>
      </c>
      <c r="CJ3" s="116">
        <f t="shared" si="3"/>
        <v>6.5403128116079443E-2</v>
      </c>
      <c r="CK3" s="116">
        <f t="shared" si="3"/>
        <v>6.7579961164427355E-2</v>
      </c>
      <c r="CL3" s="115">
        <f t="shared" si="3"/>
        <v>6.9756472556141938E-2</v>
      </c>
      <c r="CM3" s="116">
        <f t="shared" si="3"/>
        <v>7.1932651931801372E-2</v>
      </c>
      <c r="CN3" s="116">
        <f t="shared" si="3"/>
        <v>7.410848893356406E-2</v>
      </c>
      <c r="CO3" s="116">
        <f t="shared" si="3"/>
        <v>7.6283973205218E-2</v>
      </c>
      <c r="CP3" s="116">
        <f t="shared" si="3"/>
        <v>7.8459094392230103E-2</v>
      </c>
      <c r="CQ3" s="116">
        <f t="shared" si="3"/>
        <v>8.063384214179535E-2</v>
      </c>
      <c r="CR3" s="116">
        <f t="shared" si="3"/>
        <v>8.2808206102886237E-2</v>
      </c>
      <c r="CS3" s="116">
        <f t="shared" si="3"/>
        <v>8.4982175926301862E-2</v>
      </c>
      <c r="CT3" s="115">
        <f t="shared" si="3"/>
        <v>8.7155741264717396E-2</v>
      </c>
      <c r="CU3" s="116">
        <f t="shared" si="3"/>
        <v>8.9328891772733107E-2</v>
      </c>
      <c r="CV3" s="116">
        <f t="shared" si="3"/>
        <v>9.1501617106923797E-2</v>
      </c>
      <c r="CW3" s="116">
        <f t="shared" si="3"/>
        <v>9.3673906925887868E-2</v>
      </c>
      <c r="CX3" s="116">
        <f t="shared" si="3"/>
        <v>9.5845750890296649E-2</v>
      </c>
      <c r="CY3" s="116">
        <f t="shared" si="3"/>
        <v>9.8017138662943606E-2</v>
      </c>
      <c r="CZ3" s="116">
        <f t="shared" si="3"/>
        <v>0.10018805990879348</v>
      </c>
      <c r="DA3" s="116">
        <f t="shared" si="3"/>
        <v>0.10235850429503154</v>
      </c>
      <c r="DB3" s="115">
        <f t="shared" si="3"/>
        <v>0.10452846149111272</v>
      </c>
      <c r="DC3" s="116">
        <f t="shared" si="3"/>
        <v>0.13052619000624635</v>
      </c>
      <c r="DD3" s="116">
        <f t="shared" si="3"/>
        <v>0.17364817473495014</v>
      </c>
      <c r="DE3" s="116">
        <f t="shared" si="3"/>
        <v>0.25881904078887363</v>
      </c>
      <c r="DF3" s="116">
        <f t="shared" si="3"/>
        <v>0.34202013773034279</v>
      </c>
      <c r="DG3" s="116">
        <f t="shared" si="3"/>
        <v>0.42261825499502625</v>
      </c>
      <c r="DH3" s="116">
        <f t="shared" si="3"/>
        <v>0.49999999226497954</v>
      </c>
      <c r="DI3" s="116">
        <f t="shared" si="3"/>
        <v>0.70710677171312097</v>
      </c>
    </row>
    <row r="4" spans="1:124" s="116" customFormat="1" ht="2.1" customHeight="1">
      <c r="A4" s="114" t="s">
        <v>1</v>
      </c>
      <c r="B4" s="114"/>
      <c r="C4" s="114"/>
      <c r="D4" s="114"/>
      <c r="E4" s="114"/>
      <c r="F4" s="114"/>
      <c r="G4" s="114"/>
      <c r="H4" s="114"/>
      <c r="I4" s="114"/>
      <c r="J4" s="115">
        <f>'Gain de l''antenne'!B19</f>
        <v>0</v>
      </c>
      <c r="R4" s="115">
        <f>'Gain de l''antenne'!C19</f>
        <v>0</v>
      </c>
      <c r="Z4" s="115">
        <f>'Gain de l''antenne'!D19</f>
        <v>0</v>
      </c>
      <c r="AH4" s="115">
        <f>'Gain de l''antenne'!E19</f>
        <v>0</v>
      </c>
      <c r="AP4" s="115">
        <f>'Gain de l''antenne'!F19</f>
        <v>0</v>
      </c>
      <c r="AX4" s="115">
        <f>'Gain de l''antenne'!G19</f>
        <v>0</v>
      </c>
      <c r="BF4" s="115">
        <f>'Gain de l''antenne'!H19</f>
        <v>0</v>
      </c>
      <c r="BN4" s="115">
        <f>'Gain de l''antenne'!I19</f>
        <v>0</v>
      </c>
      <c r="BV4" s="115">
        <f>'Gain de l''antenne'!J19</f>
        <v>0</v>
      </c>
      <c r="CD4" s="115">
        <f>'Gain de l''antenne'!K19</f>
        <v>0</v>
      </c>
      <c r="CL4" s="115">
        <f>'Gain de l''antenne'!L19</f>
        <v>0</v>
      </c>
      <c r="CT4" s="115">
        <f>'Gain de l''antenne'!M19</f>
        <v>0</v>
      </c>
      <c r="DB4" s="115">
        <f>'Gain de l''antenne'!N19</f>
        <v>0</v>
      </c>
      <c r="DC4" s="116">
        <f>'Gain de l''antenne'!O19</f>
        <v>0</v>
      </c>
      <c r="DD4" s="116">
        <f>'Gain de l''antenne'!P19</f>
        <v>0</v>
      </c>
      <c r="DE4" s="116">
        <f>'Gain de l''antenne'!Q19</f>
        <v>0</v>
      </c>
      <c r="DF4" s="116">
        <f>'Gain de l''antenne'!R19</f>
        <v>0</v>
      </c>
      <c r="DG4" s="116">
        <f>'Gain de l''antenne'!S19</f>
        <v>0</v>
      </c>
      <c r="DH4" s="116">
        <f>'Gain de l''antenne'!T19</f>
        <v>0</v>
      </c>
      <c r="DI4" s="116">
        <f>'Gain de l''antenne'!U19</f>
        <v>0</v>
      </c>
    </row>
    <row r="5" spans="1:124" s="111" customFormat="1" ht="2.1" customHeight="1">
      <c r="A5" s="111" t="s">
        <v>66</v>
      </c>
      <c r="J5" s="132">
        <f>$J4+($Z4-$J4)/($Z2-$J2)*(J2-$J2)</f>
        <v>0</v>
      </c>
      <c r="K5" s="111">
        <f t="shared" ref="K5:Y5" si="4">$J4+($Z4-$J4)/($Z2-$J2)*(K2-$J2)</f>
        <v>0</v>
      </c>
      <c r="L5" s="111">
        <f t="shared" si="4"/>
        <v>0</v>
      </c>
      <c r="M5" s="111">
        <f t="shared" si="4"/>
        <v>0</v>
      </c>
      <c r="N5" s="111">
        <f t="shared" si="4"/>
        <v>0</v>
      </c>
      <c r="O5" s="111">
        <f t="shared" si="4"/>
        <v>0</v>
      </c>
      <c r="P5" s="111">
        <f t="shared" si="4"/>
        <v>0</v>
      </c>
      <c r="Q5" s="111">
        <f t="shared" si="4"/>
        <v>0</v>
      </c>
      <c r="R5" s="111">
        <f t="shared" si="4"/>
        <v>0</v>
      </c>
      <c r="S5" s="111">
        <f t="shared" si="4"/>
        <v>0</v>
      </c>
      <c r="T5" s="111">
        <f t="shared" si="4"/>
        <v>0</v>
      </c>
      <c r="U5" s="111">
        <f t="shared" si="4"/>
        <v>0</v>
      </c>
      <c r="V5" s="111">
        <f t="shared" si="4"/>
        <v>0</v>
      </c>
      <c r="W5" s="111">
        <f t="shared" si="4"/>
        <v>0</v>
      </c>
      <c r="X5" s="111">
        <f t="shared" si="4"/>
        <v>0</v>
      </c>
      <c r="Y5" s="111">
        <f t="shared" si="4"/>
        <v>0</v>
      </c>
      <c r="Z5" s="132">
        <f>Z4</f>
        <v>0</v>
      </c>
      <c r="AA5" s="111">
        <f>$Z5+($AP5-$Z5)/($AP2-$Z2)*(AA2-$Z2)</f>
        <v>0</v>
      </c>
      <c r="AB5" s="111">
        <f t="shared" ref="AB5:AO5" si="5">$Z5+($AP5-$Z5)/($AP2-$Z2)*(AB2-$Z2)</f>
        <v>0</v>
      </c>
      <c r="AC5" s="111">
        <f t="shared" si="5"/>
        <v>0</v>
      </c>
      <c r="AD5" s="111">
        <f t="shared" si="5"/>
        <v>0</v>
      </c>
      <c r="AE5" s="111">
        <f t="shared" si="5"/>
        <v>0</v>
      </c>
      <c r="AF5" s="111">
        <f t="shared" si="5"/>
        <v>0</v>
      </c>
      <c r="AG5" s="111">
        <f t="shared" si="5"/>
        <v>0</v>
      </c>
      <c r="AH5" s="111">
        <f t="shared" si="5"/>
        <v>0</v>
      </c>
      <c r="AI5" s="111">
        <f t="shared" si="5"/>
        <v>0</v>
      </c>
      <c r="AJ5" s="111">
        <f t="shared" si="5"/>
        <v>0</v>
      </c>
      <c r="AK5" s="111">
        <f t="shared" si="5"/>
        <v>0</v>
      </c>
      <c r="AL5" s="111">
        <f t="shared" si="5"/>
        <v>0</v>
      </c>
      <c r="AM5" s="111">
        <f t="shared" si="5"/>
        <v>0</v>
      </c>
      <c r="AN5" s="111">
        <f t="shared" si="5"/>
        <v>0</v>
      </c>
      <c r="AO5" s="111">
        <f t="shared" si="5"/>
        <v>0</v>
      </c>
      <c r="AP5" s="132">
        <f>AP4</f>
        <v>0</v>
      </c>
      <c r="AQ5" s="111">
        <f>$AP5+($BF5-$AP5)/($BF2-$AP2)*(AQ2-$AP2)</f>
        <v>0</v>
      </c>
      <c r="AR5" s="111">
        <f t="shared" ref="AR5:BE5" si="6">$AP5+($BF5-$AP5)/($BF2-$AP2)*(AR2-$AP2)</f>
        <v>0</v>
      </c>
      <c r="AS5" s="111">
        <f t="shared" si="6"/>
        <v>0</v>
      </c>
      <c r="AT5" s="111">
        <f t="shared" si="6"/>
        <v>0</v>
      </c>
      <c r="AU5" s="111">
        <f t="shared" si="6"/>
        <v>0</v>
      </c>
      <c r="AV5" s="111">
        <f t="shared" si="6"/>
        <v>0</v>
      </c>
      <c r="AW5" s="111">
        <f t="shared" si="6"/>
        <v>0</v>
      </c>
      <c r="AX5" s="111">
        <f t="shared" si="6"/>
        <v>0</v>
      </c>
      <c r="AY5" s="111">
        <f t="shared" si="6"/>
        <v>0</v>
      </c>
      <c r="AZ5" s="111">
        <f t="shared" si="6"/>
        <v>0</v>
      </c>
      <c r="BA5" s="111">
        <f t="shared" si="6"/>
        <v>0</v>
      </c>
      <c r="BB5" s="111">
        <f t="shared" si="6"/>
        <v>0</v>
      </c>
      <c r="BC5" s="111">
        <f t="shared" si="6"/>
        <v>0</v>
      </c>
      <c r="BD5" s="111">
        <f t="shared" si="6"/>
        <v>0</v>
      </c>
      <c r="BE5" s="111">
        <f t="shared" si="6"/>
        <v>0</v>
      </c>
      <c r="BF5" s="132">
        <f>BF4</f>
        <v>0</v>
      </c>
      <c r="BG5" s="111">
        <f>$BF5+($BV5-$BF5)/($BV2-$BF2)*(BG2-$BF2)</f>
        <v>0</v>
      </c>
      <c r="BH5" s="111">
        <f t="shared" ref="BH5:BU5" si="7">$BF5+($BV5-$BF5)/($BV2-$BF2)*(BH2-$BF2)</f>
        <v>0</v>
      </c>
      <c r="BI5" s="111">
        <f t="shared" si="7"/>
        <v>0</v>
      </c>
      <c r="BJ5" s="111">
        <f t="shared" si="7"/>
        <v>0</v>
      </c>
      <c r="BK5" s="111">
        <f t="shared" si="7"/>
        <v>0</v>
      </c>
      <c r="BL5" s="111">
        <f t="shared" si="7"/>
        <v>0</v>
      </c>
      <c r="BM5" s="111">
        <f t="shared" si="7"/>
        <v>0</v>
      </c>
      <c r="BN5" s="111">
        <f t="shared" si="7"/>
        <v>0</v>
      </c>
      <c r="BO5" s="111">
        <f t="shared" si="7"/>
        <v>0</v>
      </c>
      <c r="BP5" s="111">
        <f t="shared" si="7"/>
        <v>0</v>
      </c>
      <c r="BQ5" s="111">
        <f t="shared" si="7"/>
        <v>0</v>
      </c>
      <c r="BR5" s="111">
        <f t="shared" si="7"/>
        <v>0</v>
      </c>
      <c r="BS5" s="111">
        <f t="shared" si="7"/>
        <v>0</v>
      </c>
      <c r="BT5" s="111">
        <f t="shared" si="7"/>
        <v>0</v>
      </c>
      <c r="BU5" s="111">
        <f t="shared" si="7"/>
        <v>0</v>
      </c>
      <c r="BV5" s="132">
        <f>BV4</f>
        <v>0</v>
      </c>
      <c r="BW5" s="111">
        <f>$BV5+($CL5-$BV5)/($CL2-$BV2)*(BW2-$BV2)</f>
        <v>0</v>
      </c>
      <c r="BX5" s="111">
        <f t="shared" ref="BX5:CK5" si="8">$BV5+($CL5-$BV5)/($CL2-$BV2)*(BX2-$BV2)</f>
        <v>0</v>
      </c>
      <c r="BY5" s="111">
        <f t="shared" si="8"/>
        <v>0</v>
      </c>
      <c r="BZ5" s="111">
        <f t="shared" si="8"/>
        <v>0</v>
      </c>
      <c r="CA5" s="111">
        <f t="shared" si="8"/>
        <v>0</v>
      </c>
      <c r="CB5" s="111">
        <f t="shared" si="8"/>
        <v>0</v>
      </c>
      <c r="CC5" s="111">
        <f t="shared" si="8"/>
        <v>0</v>
      </c>
      <c r="CD5" s="111">
        <f t="shared" si="8"/>
        <v>0</v>
      </c>
      <c r="CE5" s="111">
        <f t="shared" si="8"/>
        <v>0</v>
      </c>
      <c r="CF5" s="111">
        <f t="shared" si="8"/>
        <v>0</v>
      </c>
      <c r="CG5" s="111">
        <f t="shared" si="8"/>
        <v>0</v>
      </c>
      <c r="CH5" s="111">
        <f t="shared" si="8"/>
        <v>0</v>
      </c>
      <c r="CI5" s="111">
        <f t="shared" si="8"/>
        <v>0</v>
      </c>
      <c r="CJ5" s="111">
        <f t="shared" si="8"/>
        <v>0</v>
      </c>
      <c r="CK5" s="111">
        <f t="shared" si="8"/>
        <v>0</v>
      </c>
      <c r="CL5" s="132">
        <f>CL4</f>
        <v>0</v>
      </c>
      <c r="CM5" s="111">
        <f>$CL5+($DB5-$CL5)/($DB2-$CL2)*(CM2-$CL2)</f>
        <v>0</v>
      </c>
      <c r="CN5" s="111">
        <f t="shared" ref="CN5:DA5" si="9">$CL5+($DB5-$CL5)/($DB2-$CL2)*(CN2-$CL2)</f>
        <v>0</v>
      </c>
      <c r="CO5" s="111">
        <f t="shared" si="9"/>
        <v>0</v>
      </c>
      <c r="CP5" s="111">
        <f t="shared" si="9"/>
        <v>0</v>
      </c>
      <c r="CQ5" s="111">
        <f t="shared" si="9"/>
        <v>0</v>
      </c>
      <c r="CR5" s="111">
        <f t="shared" si="9"/>
        <v>0</v>
      </c>
      <c r="CS5" s="111">
        <f t="shared" si="9"/>
        <v>0</v>
      </c>
      <c r="CT5" s="111">
        <f t="shared" si="9"/>
        <v>0</v>
      </c>
      <c r="CU5" s="111">
        <f t="shared" si="9"/>
        <v>0</v>
      </c>
      <c r="CV5" s="111">
        <f t="shared" si="9"/>
        <v>0</v>
      </c>
      <c r="CW5" s="111">
        <f t="shared" si="9"/>
        <v>0</v>
      </c>
      <c r="CX5" s="111">
        <f t="shared" si="9"/>
        <v>0</v>
      </c>
      <c r="CY5" s="111">
        <f t="shared" si="9"/>
        <v>0</v>
      </c>
      <c r="CZ5" s="111">
        <f t="shared" si="9"/>
        <v>0</v>
      </c>
      <c r="DA5" s="111">
        <f t="shared" si="9"/>
        <v>0</v>
      </c>
      <c r="DB5" s="132">
        <f>DB4</f>
        <v>0</v>
      </c>
      <c r="DC5" s="132"/>
      <c r="DD5" s="132"/>
      <c r="DE5" s="132"/>
      <c r="DF5" s="132"/>
      <c r="DG5" s="132"/>
      <c r="DH5" s="132"/>
      <c r="DI5" s="132"/>
      <c r="DJ5" s="132"/>
      <c r="DK5" s="132"/>
      <c r="DL5" s="132"/>
      <c r="DM5" s="132"/>
      <c r="DN5" s="132"/>
      <c r="DO5" s="132"/>
      <c r="DP5" s="132"/>
      <c r="DQ5" s="132"/>
      <c r="DR5" s="132"/>
      <c r="DS5" s="132"/>
      <c r="DT5" s="132"/>
    </row>
    <row r="6" spans="1:124" s="111" customFormat="1" ht="2.1" customHeight="1">
      <c r="A6" s="111" t="s">
        <v>71</v>
      </c>
      <c r="J6" s="132"/>
      <c r="R6" s="132">
        <f>R4-R5</f>
        <v>0</v>
      </c>
      <c r="Z6" s="132"/>
      <c r="AH6" s="132">
        <f>AH4-AH5</f>
        <v>0</v>
      </c>
      <c r="AP6" s="132"/>
      <c r="AX6" s="132">
        <f>AX4-AX5</f>
        <v>0</v>
      </c>
      <c r="BF6" s="132"/>
      <c r="BN6" s="132">
        <f>BN4-BN5</f>
        <v>0</v>
      </c>
      <c r="BV6" s="132"/>
      <c r="CD6" s="132">
        <f>CD4-CD5</f>
        <v>0</v>
      </c>
      <c r="CL6" s="132"/>
      <c r="CT6" s="132">
        <f>CT4-CT5</f>
        <v>0</v>
      </c>
      <c r="DB6" s="132"/>
      <c r="DC6" s="132"/>
      <c r="DD6" s="132"/>
      <c r="DE6" s="132"/>
      <c r="DF6" s="132"/>
      <c r="DG6" s="132"/>
      <c r="DH6" s="132"/>
      <c r="DI6" s="132"/>
      <c r="DJ6" s="132"/>
      <c r="DK6" s="132"/>
      <c r="DL6" s="132"/>
      <c r="DM6" s="132"/>
      <c r="DN6" s="132"/>
      <c r="DO6" s="132"/>
      <c r="DP6" s="132"/>
      <c r="DQ6" s="132"/>
      <c r="DR6" s="132"/>
      <c r="DS6" s="132"/>
      <c r="DT6" s="132"/>
    </row>
    <row r="7" spans="1:124" s="111" customFormat="1" ht="2.1" customHeight="1">
      <c r="A7" s="111" t="s">
        <v>68</v>
      </c>
      <c r="J7" s="111">
        <f t="shared" ref="J7:Q7" si="10">$R6*COS((J1-$R1)*1.57)</f>
        <v>0</v>
      </c>
      <c r="K7" s="111">
        <f t="shared" si="10"/>
        <v>0</v>
      </c>
      <c r="L7" s="111">
        <f t="shared" si="10"/>
        <v>0</v>
      </c>
      <c r="M7" s="111">
        <f t="shared" si="10"/>
        <v>0</v>
      </c>
      <c r="N7" s="111">
        <f t="shared" si="10"/>
        <v>0</v>
      </c>
      <c r="O7" s="111">
        <f t="shared" si="10"/>
        <v>0</v>
      </c>
      <c r="P7" s="111">
        <f t="shared" si="10"/>
        <v>0</v>
      </c>
      <c r="Q7" s="111">
        <f t="shared" si="10"/>
        <v>0</v>
      </c>
      <c r="R7" s="111">
        <f>$R6*COS((R1-$R1)*1.57)</f>
        <v>0</v>
      </c>
      <c r="S7" s="111">
        <f t="shared" ref="S7:Z7" si="11">$R6*COS((S1-$R1)*1.57)</f>
        <v>0</v>
      </c>
      <c r="T7" s="111">
        <f t="shared" si="11"/>
        <v>0</v>
      </c>
      <c r="U7" s="111">
        <f t="shared" si="11"/>
        <v>0</v>
      </c>
      <c r="V7" s="111">
        <f t="shared" si="11"/>
        <v>0</v>
      </c>
      <c r="W7" s="111">
        <f t="shared" si="11"/>
        <v>0</v>
      </c>
      <c r="X7" s="111">
        <f t="shared" si="11"/>
        <v>0</v>
      </c>
      <c r="Y7" s="111">
        <f t="shared" si="11"/>
        <v>0</v>
      </c>
      <c r="Z7" s="111">
        <f t="shared" si="11"/>
        <v>0</v>
      </c>
      <c r="AA7" s="111">
        <f t="shared" ref="AA7:AG7" si="12">$AH6*COS((AA1-$AH1)*1.57)</f>
        <v>0</v>
      </c>
      <c r="AB7" s="111">
        <f t="shared" si="12"/>
        <v>0</v>
      </c>
      <c r="AC7" s="111">
        <f t="shared" si="12"/>
        <v>0</v>
      </c>
      <c r="AD7" s="111">
        <f t="shared" si="12"/>
        <v>0</v>
      </c>
      <c r="AE7" s="111">
        <f t="shared" si="12"/>
        <v>0</v>
      </c>
      <c r="AF7" s="111">
        <f t="shared" si="12"/>
        <v>0</v>
      </c>
      <c r="AG7" s="111">
        <f t="shared" si="12"/>
        <v>0</v>
      </c>
      <c r="AH7" s="111">
        <f>$AH6*COS((AH1-$AH1)*1.57)</f>
        <v>0</v>
      </c>
      <c r="AI7" s="111">
        <f t="shared" ref="AI7:AO7" si="13">$AH6*COS((AI1-$AH1)*1.57)</f>
        <v>0</v>
      </c>
      <c r="AJ7" s="111">
        <f t="shared" si="13"/>
        <v>0</v>
      </c>
      <c r="AK7" s="111">
        <f t="shared" si="13"/>
        <v>0</v>
      </c>
      <c r="AL7" s="111">
        <f t="shared" si="13"/>
        <v>0</v>
      </c>
      <c r="AM7" s="111">
        <f t="shared" si="13"/>
        <v>0</v>
      </c>
      <c r="AN7" s="111">
        <f t="shared" si="13"/>
        <v>0</v>
      </c>
      <c r="AO7" s="111">
        <f t="shared" si="13"/>
        <v>0</v>
      </c>
      <c r="AP7" s="111">
        <f t="shared" ref="AP7:AW7" si="14">$AX6*COS((AP1-$AX1)*1.5708)</f>
        <v>0</v>
      </c>
      <c r="AQ7" s="111">
        <f t="shared" si="14"/>
        <v>0</v>
      </c>
      <c r="AR7" s="111">
        <f t="shared" si="14"/>
        <v>0</v>
      </c>
      <c r="AS7" s="111">
        <f t="shared" si="14"/>
        <v>0</v>
      </c>
      <c r="AT7" s="111">
        <f t="shared" si="14"/>
        <v>0</v>
      </c>
      <c r="AU7" s="111">
        <f t="shared" si="14"/>
        <v>0</v>
      </c>
      <c r="AV7" s="111">
        <f t="shared" si="14"/>
        <v>0</v>
      </c>
      <c r="AW7" s="111">
        <f t="shared" si="14"/>
        <v>0</v>
      </c>
      <c r="AX7" s="111">
        <f>$AX6*COS((AX1-$AX1)*1.5708)</f>
        <v>0</v>
      </c>
      <c r="AY7" s="111">
        <f t="shared" ref="AY7:BF7" si="15">$AX6*COS((AY1-$AX1)*1.5708)</f>
        <v>0</v>
      </c>
      <c r="AZ7" s="111">
        <f t="shared" si="15"/>
        <v>0</v>
      </c>
      <c r="BA7" s="111">
        <f t="shared" si="15"/>
        <v>0</v>
      </c>
      <c r="BB7" s="111">
        <f t="shared" si="15"/>
        <v>0</v>
      </c>
      <c r="BC7" s="111">
        <f t="shared" si="15"/>
        <v>0</v>
      </c>
      <c r="BD7" s="111">
        <f t="shared" si="15"/>
        <v>0</v>
      </c>
      <c r="BE7" s="111">
        <f t="shared" si="15"/>
        <v>0</v>
      </c>
      <c r="BF7" s="111">
        <f t="shared" si="15"/>
        <v>0</v>
      </c>
      <c r="BG7" s="111">
        <f>$BN6*COS((BG1-$BN1)*1.5708)</f>
        <v>0</v>
      </c>
      <c r="BH7" s="111">
        <f t="shared" ref="BH7:BV7" si="16">$BN6*COS((BH1-$BN1)*1.5708)</f>
        <v>0</v>
      </c>
      <c r="BI7" s="111">
        <f t="shared" si="16"/>
        <v>0</v>
      </c>
      <c r="BJ7" s="111">
        <f t="shared" si="16"/>
        <v>0</v>
      </c>
      <c r="BK7" s="111">
        <f t="shared" si="16"/>
        <v>0</v>
      </c>
      <c r="BL7" s="111">
        <f t="shared" si="16"/>
        <v>0</v>
      </c>
      <c r="BM7" s="111">
        <f t="shared" si="16"/>
        <v>0</v>
      </c>
      <c r="BN7" s="111">
        <f t="shared" si="16"/>
        <v>0</v>
      </c>
      <c r="BO7" s="111">
        <f t="shared" si="16"/>
        <v>0</v>
      </c>
      <c r="BP7" s="111">
        <f t="shared" si="16"/>
        <v>0</v>
      </c>
      <c r="BQ7" s="111">
        <f t="shared" si="16"/>
        <v>0</v>
      </c>
      <c r="BR7" s="111">
        <f t="shared" si="16"/>
        <v>0</v>
      </c>
      <c r="BS7" s="111">
        <f t="shared" si="16"/>
        <v>0</v>
      </c>
      <c r="BT7" s="111">
        <f t="shared" si="16"/>
        <v>0</v>
      </c>
      <c r="BU7" s="111">
        <f t="shared" si="16"/>
        <v>0</v>
      </c>
      <c r="BV7" s="111">
        <f t="shared" si="16"/>
        <v>0</v>
      </c>
      <c r="BW7" s="111">
        <f>$CD6*COS((BW1-$CD1)*1.5708)</f>
        <v>0</v>
      </c>
      <c r="BX7" s="111">
        <f t="shared" ref="BX7:CL7" si="17">$CD6*COS((BX1-$CD1)*1.5708)</f>
        <v>0</v>
      </c>
      <c r="BY7" s="111">
        <f t="shared" si="17"/>
        <v>0</v>
      </c>
      <c r="BZ7" s="111">
        <f t="shared" si="17"/>
        <v>0</v>
      </c>
      <c r="CA7" s="111">
        <f t="shared" si="17"/>
        <v>0</v>
      </c>
      <c r="CB7" s="111">
        <f t="shared" si="17"/>
        <v>0</v>
      </c>
      <c r="CC7" s="111">
        <f t="shared" si="17"/>
        <v>0</v>
      </c>
      <c r="CD7" s="111">
        <f t="shared" si="17"/>
        <v>0</v>
      </c>
      <c r="CE7" s="111">
        <f t="shared" si="17"/>
        <v>0</v>
      </c>
      <c r="CF7" s="111">
        <f t="shared" si="17"/>
        <v>0</v>
      </c>
      <c r="CG7" s="111">
        <f t="shared" si="17"/>
        <v>0</v>
      </c>
      <c r="CH7" s="111">
        <f t="shared" si="17"/>
        <v>0</v>
      </c>
      <c r="CI7" s="111">
        <f t="shared" si="17"/>
        <v>0</v>
      </c>
      <c r="CJ7" s="111">
        <f t="shared" si="17"/>
        <v>0</v>
      </c>
      <c r="CK7" s="111">
        <f t="shared" si="17"/>
        <v>0</v>
      </c>
      <c r="CL7" s="111">
        <f t="shared" si="17"/>
        <v>0</v>
      </c>
      <c r="CM7" s="111">
        <f>$CT6*COS((CM1-$CT1)*1.5708)</f>
        <v>0</v>
      </c>
      <c r="CN7" s="111">
        <f t="shared" ref="CN7:DB7" si="18">$CT6*COS((CN1-$CT1)*1.5708)</f>
        <v>0</v>
      </c>
      <c r="CO7" s="111">
        <f t="shared" si="18"/>
        <v>0</v>
      </c>
      <c r="CP7" s="111">
        <f t="shared" si="18"/>
        <v>0</v>
      </c>
      <c r="CQ7" s="111">
        <f t="shared" si="18"/>
        <v>0</v>
      </c>
      <c r="CR7" s="111">
        <f t="shared" si="18"/>
        <v>0</v>
      </c>
      <c r="CS7" s="111">
        <f t="shared" si="18"/>
        <v>0</v>
      </c>
      <c r="CT7" s="111">
        <f t="shared" si="18"/>
        <v>0</v>
      </c>
      <c r="CU7" s="111">
        <f t="shared" si="18"/>
        <v>0</v>
      </c>
      <c r="CV7" s="111">
        <f t="shared" si="18"/>
        <v>0</v>
      </c>
      <c r="CW7" s="111">
        <f t="shared" si="18"/>
        <v>0</v>
      </c>
      <c r="CX7" s="111">
        <f t="shared" si="18"/>
        <v>0</v>
      </c>
      <c r="CY7" s="111">
        <f t="shared" si="18"/>
        <v>0</v>
      </c>
      <c r="CZ7" s="111">
        <f t="shared" si="18"/>
        <v>0</v>
      </c>
      <c r="DA7" s="111">
        <f t="shared" si="18"/>
        <v>0</v>
      </c>
      <c r="DB7" s="111">
        <f t="shared" si="18"/>
        <v>0</v>
      </c>
      <c r="DC7" s="132"/>
      <c r="DD7" s="132"/>
      <c r="DE7" s="132"/>
      <c r="DF7" s="132"/>
      <c r="DG7" s="132"/>
      <c r="DH7" s="132"/>
      <c r="DI7" s="132"/>
      <c r="DJ7" s="132"/>
      <c r="DK7" s="132"/>
      <c r="DL7" s="132"/>
      <c r="DM7" s="132"/>
      <c r="DN7" s="132"/>
      <c r="DO7" s="132"/>
      <c r="DP7" s="132"/>
      <c r="DQ7" s="132"/>
      <c r="DR7" s="132"/>
      <c r="DS7" s="132"/>
      <c r="DT7" s="132"/>
    </row>
    <row r="8" spans="1:124" s="111" customFormat="1" ht="2.1" customHeight="1">
      <c r="A8" s="111" t="s">
        <v>69</v>
      </c>
      <c r="J8" s="111">
        <f>J5+J7</f>
        <v>0</v>
      </c>
      <c r="K8" s="111">
        <f t="shared" ref="K8:BV8" si="19">K5+K7</f>
        <v>0</v>
      </c>
      <c r="L8" s="111">
        <f t="shared" si="19"/>
        <v>0</v>
      </c>
      <c r="M8" s="111">
        <f t="shared" si="19"/>
        <v>0</v>
      </c>
      <c r="N8" s="111">
        <f t="shared" si="19"/>
        <v>0</v>
      </c>
      <c r="O8" s="111">
        <f t="shared" si="19"/>
        <v>0</v>
      </c>
      <c r="P8" s="111">
        <f t="shared" si="19"/>
        <v>0</v>
      </c>
      <c r="Q8" s="111">
        <f t="shared" si="19"/>
        <v>0</v>
      </c>
      <c r="R8" s="111">
        <f t="shared" si="19"/>
        <v>0</v>
      </c>
      <c r="S8" s="111">
        <f t="shared" si="19"/>
        <v>0</v>
      </c>
      <c r="T8" s="111">
        <f t="shared" si="19"/>
        <v>0</v>
      </c>
      <c r="U8" s="111">
        <f t="shared" si="19"/>
        <v>0</v>
      </c>
      <c r="V8" s="111">
        <f t="shared" si="19"/>
        <v>0</v>
      </c>
      <c r="W8" s="111">
        <f t="shared" si="19"/>
        <v>0</v>
      </c>
      <c r="X8" s="111">
        <f t="shared" si="19"/>
        <v>0</v>
      </c>
      <c r="Y8" s="111">
        <f t="shared" si="19"/>
        <v>0</v>
      </c>
      <c r="Z8" s="111">
        <f t="shared" si="19"/>
        <v>0</v>
      </c>
      <c r="AA8" s="111">
        <f t="shared" si="19"/>
        <v>0</v>
      </c>
      <c r="AB8" s="111">
        <f t="shared" si="19"/>
        <v>0</v>
      </c>
      <c r="AC8" s="111">
        <f t="shared" si="19"/>
        <v>0</v>
      </c>
      <c r="AD8" s="111">
        <f t="shared" si="19"/>
        <v>0</v>
      </c>
      <c r="AE8" s="111">
        <f t="shared" si="19"/>
        <v>0</v>
      </c>
      <c r="AF8" s="111">
        <f t="shared" si="19"/>
        <v>0</v>
      </c>
      <c r="AG8" s="111">
        <f t="shared" si="19"/>
        <v>0</v>
      </c>
      <c r="AH8" s="111">
        <f t="shared" si="19"/>
        <v>0</v>
      </c>
      <c r="AI8" s="111">
        <f t="shared" si="19"/>
        <v>0</v>
      </c>
      <c r="AJ8" s="111">
        <f t="shared" si="19"/>
        <v>0</v>
      </c>
      <c r="AK8" s="111">
        <f t="shared" si="19"/>
        <v>0</v>
      </c>
      <c r="AL8" s="111">
        <f t="shared" si="19"/>
        <v>0</v>
      </c>
      <c r="AM8" s="111">
        <f t="shared" si="19"/>
        <v>0</v>
      </c>
      <c r="AN8" s="111">
        <f t="shared" si="19"/>
        <v>0</v>
      </c>
      <c r="AO8" s="111">
        <f t="shared" si="19"/>
        <v>0</v>
      </c>
      <c r="AP8" s="111">
        <f t="shared" si="19"/>
        <v>0</v>
      </c>
      <c r="AQ8" s="111">
        <f t="shared" si="19"/>
        <v>0</v>
      </c>
      <c r="AR8" s="111">
        <f t="shared" si="19"/>
        <v>0</v>
      </c>
      <c r="AS8" s="111">
        <f t="shared" si="19"/>
        <v>0</v>
      </c>
      <c r="AT8" s="111">
        <f t="shared" si="19"/>
        <v>0</v>
      </c>
      <c r="AU8" s="111">
        <f t="shared" si="19"/>
        <v>0</v>
      </c>
      <c r="AV8" s="111">
        <f t="shared" si="19"/>
        <v>0</v>
      </c>
      <c r="AW8" s="111">
        <f t="shared" si="19"/>
        <v>0</v>
      </c>
      <c r="AX8" s="111">
        <f t="shared" si="19"/>
        <v>0</v>
      </c>
      <c r="AY8" s="111">
        <f t="shared" si="19"/>
        <v>0</v>
      </c>
      <c r="AZ8" s="111">
        <f t="shared" si="19"/>
        <v>0</v>
      </c>
      <c r="BA8" s="111">
        <f t="shared" si="19"/>
        <v>0</v>
      </c>
      <c r="BB8" s="111">
        <f t="shared" si="19"/>
        <v>0</v>
      </c>
      <c r="BC8" s="111">
        <f t="shared" si="19"/>
        <v>0</v>
      </c>
      <c r="BD8" s="111">
        <f t="shared" si="19"/>
        <v>0</v>
      </c>
      <c r="BE8" s="111">
        <f t="shared" si="19"/>
        <v>0</v>
      </c>
      <c r="BF8" s="111">
        <f t="shared" si="19"/>
        <v>0</v>
      </c>
      <c r="BG8" s="111">
        <f t="shared" si="19"/>
        <v>0</v>
      </c>
      <c r="BH8" s="111">
        <f t="shared" si="19"/>
        <v>0</v>
      </c>
      <c r="BI8" s="111">
        <f t="shared" si="19"/>
        <v>0</v>
      </c>
      <c r="BJ8" s="111">
        <f t="shared" si="19"/>
        <v>0</v>
      </c>
      <c r="BK8" s="111">
        <f t="shared" si="19"/>
        <v>0</v>
      </c>
      <c r="BL8" s="111">
        <f t="shared" si="19"/>
        <v>0</v>
      </c>
      <c r="BM8" s="111">
        <f t="shared" si="19"/>
        <v>0</v>
      </c>
      <c r="BN8" s="111">
        <f t="shared" si="19"/>
        <v>0</v>
      </c>
      <c r="BO8" s="111">
        <f t="shared" si="19"/>
        <v>0</v>
      </c>
      <c r="BP8" s="111">
        <f t="shared" si="19"/>
        <v>0</v>
      </c>
      <c r="BQ8" s="111">
        <f t="shared" si="19"/>
        <v>0</v>
      </c>
      <c r="BR8" s="111">
        <f t="shared" si="19"/>
        <v>0</v>
      </c>
      <c r="BS8" s="111">
        <f t="shared" si="19"/>
        <v>0</v>
      </c>
      <c r="BT8" s="111">
        <f t="shared" si="19"/>
        <v>0</v>
      </c>
      <c r="BU8" s="111">
        <f t="shared" si="19"/>
        <v>0</v>
      </c>
      <c r="BV8" s="111">
        <f t="shared" si="19"/>
        <v>0</v>
      </c>
      <c r="BW8" s="111">
        <f t="shared" ref="BW8:DB8" si="20">BW5+BW7</f>
        <v>0</v>
      </c>
      <c r="BX8" s="111">
        <f t="shared" si="20"/>
        <v>0</v>
      </c>
      <c r="BY8" s="111">
        <f t="shared" si="20"/>
        <v>0</v>
      </c>
      <c r="BZ8" s="111">
        <f t="shared" si="20"/>
        <v>0</v>
      </c>
      <c r="CA8" s="111">
        <f t="shared" si="20"/>
        <v>0</v>
      </c>
      <c r="CB8" s="111">
        <f t="shared" si="20"/>
        <v>0</v>
      </c>
      <c r="CC8" s="111">
        <f t="shared" si="20"/>
        <v>0</v>
      </c>
      <c r="CD8" s="111">
        <f t="shared" si="20"/>
        <v>0</v>
      </c>
      <c r="CE8" s="111">
        <f t="shared" si="20"/>
        <v>0</v>
      </c>
      <c r="CF8" s="111">
        <f t="shared" si="20"/>
        <v>0</v>
      </c>
      <c r="CG8" s="111">
        <f t="shared" si="20"/>
        <v>0</v>
      </c>
      <c r="CH8" s="111">
        <f t="shared" si="20"/>
        <v>0</v>
      </c>
      <c r="CI8" s="111">
        <f t="shared" si="20"/>
        <v>0</v>
      </c>
      <c r="CJ8" s="111">
        <f t="shared" si="20"/>
        <v>0</v>
      </c>
      <c r="CK8" s="111">
        <f t="shared" si="20"/>
        <v>0</v>
      </c>
      <c r="CL8" s="111">
        <f t="shared" si="20"/>
        <v>0</v>
      </c>
      <c r="CM8" s="111">
        <f t="shared" si="20"/>
        <v>0</v>
      </c>
      <c r="CN8" s="111">
        <f t="shared" si="20"/>
        <v>0</v>
      </c>
      <c r="CO8" s="111">
        <f t="shared" si="20"/>
        <v>0</v>
      </c>
      <c r="CP8" s="111">
        <f t="shared" si="20"/>
        <v>0</v>
      </c>
      <c r="CQ8" s="111">
        <f t="shared" si="20"/>
        <v>0</v>
      </c>
      <c r="CR8" s="111">
        <f t="shared" si="20"/>
        <v>0</v>
      </c>
      <c r="CS8" s="111">
        <f t="shared" si="20"/>
        <v>0</v>
      </c>
      <c r="CT8" s="111">
        <f t="shared" si="20"/>
        <v>0</v>
      </c>
      <c r="CU8" s="111">
        <f t="shared" si="20"/>
        <v>0</v>
      </c>
      <c r="CV8" s="111">
        <f t="shared" si="20"/>
        <v>0</v>
      </c>
      <c r="CW8" s="111">
        <f t="shared" si="20"/>
        <v>0</v>
      </c>
      <c r="CX8" s="111">
        <f t="shared" si="20"/>
        <v>0</v>
      </c>
      <c r="CY8" s="111">
        <f t="shared" si="20"/>
        <v>0</v>
      </c>
      <c r="CZ8" s="111">
        <f t="shared" si="20"/>
        <v>0</v>
      </c>
      <c r="DA8" s="111">
        <f t="shared" si="20"/>
        <v>0</v>
      </c>
      <c r="DB8" s="111">
        <f t="shared" si="20"/>
        <v>0</v>
      </c>
      <c r="DC8" s="132"/>
      <c r="DD8" s="132"/>
      <c r="DE8" s="132"/>
      <c r="DF8" s="132"/>
      <c r="DG8" s="132"/>
      <c r="DH8" s="132"/>
      <c r="DI8" s="132"/>
      <c r="DJ8" s="132"/>
      <c r="DK8" s="132"/>
      <c r="DL8" s="132"/>
      <c r="DM8" s="132"/>
      <c r="DN8" s="132"/>
      <c r="DO8" s="132"/>
      <c r="DP8" s="132"/>
      <c r="DQ8" s="132"/>
      <c r="DR8" s="132"/>
      <c r="DS8" s="132"/>
      <c r="DT8" s="132"/>
    </row>
    <row r="9" spans="1:124" s="111" customFormat="1" ht="2.1" customHeight="1">
      <c r="A9" s="111" t="s">
        <v>67</v>
      </c>
      <c r="R9" s="111">
        <f>R4</f>
        <v>0</v>
      </c>
      <c r="S9" s="111">
        <f>$R9+($AH9-$R9)/($AH2-$R2)*(S2-$R2)</f>
        <v>0</v>
      </c>
      <c r="T9" s="111">
        <f t="shared" ref="T9:AG9" si="21">$R9+($AH9-$R9)/($AH2-$R2)*(T2-$R2)</f>
        <v>0</v>
      </c>
      <c r="U9" s="111">
        <f t="shared" si="21"/>
        <v>0</v>
      </c>
      <c r="V9" s="111">
        <f t="shared" si="21"/>
        <v>0</v>
      </c>
      <c r="W9" s="111">
        <f t="shared" si="21"/>
        <v>0</v>
      </c>
      <c r="X9" s="111">
        <f t="shared" si="21"/>
        <v>0</v>
      </c>
      <c r="Y9" s="111">
        <f t="shared" si="21"/>
        <v>0</v>
      </c>
      <c r="Z9" s="111">
        <f t="shared" si="21"/>
        <v>0</v>
      </c>
      <c r="AA9" s="111">
        <f t="shared" si="21"/>
        <v>0</v>
      </c>
      <c r="AB9" s="111">
        <f t="shared" si="21"/>
        <v>0</v>
      </c>
      <c r="AC9" s="111">
        <f t="shared" si="21"/>
        <v>0</v>
      </c>
      <c r="AD9" s="111">
        <f t="shared" si="21"/>
        <v>0</v>
      </c>
      <c r="AE9" s="111">
        <f t="shared" si="21"/>
        <v>0</v>
      </c>
      <c r="AF9" s="111">
        <f t="shared" si="21"/>
        <v>0</v>
      </c>
      <c r="AG9" s="111">
        <f t="shared" si="21"/>
        <v>0</v>
      </c>
      <c r="AH9" s="111">
        <f>AH4</f>
        <v>0</v>
      </c>
      <c r="AI9" s="111">
        <f>$AH9+($AX9-$AH9)/($AX2-$AH2)*(AI2-$AH2)</f>
        <v>0</v>
      </c>
      <c r="AJ9" s="111">
        <f t="shared" ref="AJ9:AW9" si="22">$AH9+($AX9-$AH9)/($AX2-$AH2)*(AJ2-$AH2)</f>
        <v>0</v>
      </c>
      <c r="AK9" s="111">
        <f t="shared" si="22"/>
        <v>0</v>
      </c>
      <c r="AL9" s="111">
        <f t="shared" si="22"/>
        <v>0</v>
      </c>
      <c r="AM9" s="111">
        <f t="shared" si="22"/>
        <v>0</v>
      </c>
      <c r="AN9" s="111">
        <f t="shared" si="22"/>
        <v>0</v>
      </c>
      <c r="AO9" s="111">
        <f t="shared" si="22"/>
        <v>0</v>
      </c>
      <c r="AP9" s="111">
        <f t="shared" si="22"/>
        <v>0</v>
      </c>
      <c r="AQ9" s="111">
        <f t="shared" si="22"/>
        <v>0</v>
      </c>
      <c r="AR9" s="111">
        <f t="shared" si="22"/>
        <v>0</v>
      </c>
      <c r="AS9" s="111">
        <f t="shared" si="22"/>
        <v>0</v>
      </c>
      <c r="AT9" s="111">
        <f t="shared" si="22"/>
        <v>0</v>
      </c>
      <c r="AU9" s="111">
        <f t="shared" si="22"/>
        <v>0</v>
      </c>
      <c r="AV9" s="111">
        <f t="shared" si="22"/>
        <v>0</v>
      </c>
      <c r="AW9" s="111">
        <f t="shared" si="22"/>
        <v>0</v>
      </c>
      <c r="AX9" s="111">
        <f>AX4</f>
        <v>0</v>
      </c>
      <c r="AY9" s="111">
        <f>$AX9+($BN9-$AX9)/($BN2-$AX2)*(AY2-$AX2)</f>
        <v>0</v>
      </c>
      <c r="AZ9" s="111">
        <f t="shared" ref="AZ9:BM9" si="23">$AX9+($BN9-$AX9)/($BN2-$AX2)*(AZ2-$AX2)</f>
        <v>0</v>
      </c>
      <c r="BA9" s="111">
        <f t="shared" si="23"/>
        <v>0</v>
      </c>
      <c r="BB9" s="111">
        <f t="shared" si="23"/>
        <v>0</v>
      </c>
      <c r="BC9" s="111">
        <f t="shared" si="23"/>
        <v>0</v>
      </c>
      <c r="BD9" s="111">
        <f t="shared" si="23"/>
        <v>0</v>
      </c>
      <c r="BE9" s="111">
        <f t="shared" si="23"/>
        <v>0</v>
      </c>
      <c r="BF9" s="111">
        <f t="shared" si="23"/>
        <v>0</v>
      </c>
      <c r="BG9" s="111">
        <f t="shared" si="23"/>
        <v>0</v>
      </c>
      <c r="BH9" s="111">
        <f t="shared" si="23"/>
        <v>0</v>
      </c>
      <c r="BI9" s="111">
        <f t="shared" si="23"/>
        <v>0</v>
      </c>
      <c r="BJ9" s="111">
        <f t="shared" si="23"/>
        <v>0</v>
      </c>
      <c r="BK9" s="111">
        <f t="shared" si="23"/>
        <v>0</v>
      </c>
      <c r="BL9" s="111">
        <f t="shared" si="23"/>
        <v>0</v>
      </c>
      <c r="BM9" s="111">
        <f t="shared" si="23"/>
        <v>0</v>
      </c>
      <c r="BN9" s="111">
        <f>BN4</f>
        <v>0</v>
      </c>
      <c r="BO9" s="111">
        <f>$BN9+($CD9-$BN9)/($CD2-$BN2)*(BO2-$BN2)</f>
        <v>0</v>
      </c>
      <c r="BP9" s="111">
        <f t="shared" ref="BP9:CC9" si="24">$BN9+($CD9-$BN9)/($CD2-$BN2)*(BP2-$BN2)</f>
        <v>0</v>
      </c>
      <c r="BQ9" s="111">
        <f t="shared" si="24"/>
        <v>0</v>
      </c>
      <c r="BR9" s="111">
        <f t="shared" si="24"/>
        <v>0</v>
      </c>
      <c r="BS9" s="111">
        <f t="shared" si="24"/>
        <v>0</v>
      </c>
      <c r="BT9" s="111">
        <f t="shared" si="24"/>
        <v>0</v>
      </c>
      <c r="BU9" s="111">
        <f t="shared" si="24"/>
        <v>0</v>
      </c>
      <c r="BV9" s="111">
        <f t="shared" si="24"/>
        <v>0</v>
      </c>
      <c r="BW9" s="111">
        <f t="shared" si="24"/>
        <v>0</v>
      </c>
      <c r="BX9" s="111">
        <f t="shared" si="24"/>
        <v>0</v>
      </c>
      <c r="BY9" s="111">
        <f t="shared" si="24"/>
        <v>0</v>
      </c>
      <c r="BZ9" s="111">
        <f t="shared" si="24"/>
        <v>0</v>
      </c>
      <c r="CA9" s="111">
        <f t="shared" si="24"/>
        <v>0</v>
      </c>
      <c r="CB9" s="111">
        <f t="shared" si="24"/>
        <v>0</v>
      </c>
      <c r="CC9" s="111">
        <f t="shared" si="24"/>
        <v>0</v>
      </c>
      <c r="CD9" s="111">
        <f>CD4</f>
        <v>0</v>
      </c>
      <c r="CE9" s="111">
        <f>$CD9+($CT9-$CD9)/($CT2-$CD2)*(CE2-$CD2)</f>
        <v>0</v>
      </c>
      <c r="CF9" s="111">
        <f t="shared" ref="CF9:CS9" si="25">$CD9+($CT9-$CD9)/($CT2-$CD2)*(CF2-$CD2)</f>
        <v>0</v>
      </c>
      <c r="CG9" s="111">
        <f t="shared" si="25"/>
        <v>0</v>
      </c>
      <c r="CH9" s="111">
        <f t="shared" si="25"/>
        <v>0</v>
      </c>
      <c r="CI9" s="111">
        <f t="shared" si="25"/>
        <v>0</v>
      </c>
      <c r="CJ9" s="111">
        <f t="shared" si="25"/>
        <v>0</v>
      </c>
      <c r="CK9" s="111">
        <f t="shared" si="25"/>
        <v>0</v>
      </c>
      <c r="CL9" s="111">
        <f t="shared" si="25"/>
        <v>0</v>
      </c>
      <c r="CM9" s="111">
        <f t="shared" si="25"/>
        <v>0</v>
      </c>
      <c r="CN9" s="111">
        <f t="shared" si="25"/>
        <v>0</v>
      </c>
      <c r="CO9" s="111">
        <f t="shared" si="25"/>
        <v>0</v>
      </c>
      <c r="CP9" s="111">
        <f t="shared" si="25"/>
        <v>0</v>
      </c>
      <c r="CQ9" s="111">
        <f t="shared" si="25"/>
        <v>0</v>
      </c>
      <c r="CR9" s="111">
        <f t="shared" si="25"/>
        <v>0</v>
      </c>
      <c r="CS9" s="111">
        <f t="shared" si="25"/>
        <v>0</v>
      </c>
      <c r="CT9" s="111">
        <f>CT4</f>
        <v>0</v>
      </c>
      <c r="CU9" s="111">
        <f>$CT9+($DB9-$CT9)/($DB2-$CT2)*(CU2-$CT2)</f>
        <v>0</v>
      </c>
      <c r="CV9" s="111">
        <f t="shared" ref="CV9:DA9" si="26">$CT9+($DB9-$CT9)/($DB2-$CT2)*(CV2-$CT2)</f>
        <v>0</v>
      </c>
      <c r="CW9" s="111">
        <f t="shared" si="26"/>
        <v>0</v>
      </c>
      <c r="CX9" s="111">
        <f t="shared" si="26"/>
        <v>0</v>
      </c>
      <c r="CY9" s="111">
        <f t="shared" si="26"/>
        <v>0</v>
      </c>
      <c r="CZ9" s="111">
        <f t="shared" si="26"/>
        <v>0</v>
      </c>
      <c r="DA9" s="111">
        <f t="shared" si="26"/>
        <v>0</v>
      </c>
      <c r="DB9" s="111">
        <f>DB5</f>
        <v>0</v>
      </c>
    </row>
    <row r="10" spans="1:124" s="111" customFormat="1" ht="2.1" customHeight="1">
      <c r="A10" s="111" t="s">
        <v>70</v>
      </c>
      <c r="Z10" s="111">
        <f xml:space="preserve"> Z4-Z9</f>
        <v>0</v>
      </c>
      <c r="AP10" s="111">
        <f>AP4-AP9</f>
        <v>0</v>
      </c>
      <c r="BF10" s="111">
        <f>BF4-BF9</f>
        <v>0</v>
      </c>
      <c r="BV10" s="111">
        <f>BV4-BV9</f>
        <v>0</v>
      </c>
      <c r="CL10" s="111">
        <f>CL4-CL9</f>
        <v>0</v>
      </c>
      <c r="DB10" s="111">
        <f>DB4-DB9</f>
        <v>0</v>
      </c>
    </row>
    <row r="11" spans="1:124" s="111" customFormat="1" ht="2.1" customHeight="1">
      <c r="A11" s="111" t="s">
        <v>68</v>
      </c>
      <c r="R11" s="111">
        <f>$Z10*COS((R1-$Z1)*1.5708)</f>
        <v>0</v>
      </c>
      <c r="S11" s="111">
        <f t="shared" ref="S11:AH11" si="27">$Z10*COS((S1-$Z1)*1.5708)</f>
        <v>0</v>
      </c>
      <c r="T11" s="111">
        <f t="shared" si="27"/>
        <v>0</v>
      </c>
      <c r="U11" s="111">
        <f t="shared" si="27"/>
        <v>0</v>
      </c>
      <c r="V11" s="111">
        <f t="shared" si="27"/>
        <v>0</v>
      </c>
      <c r="W11" s="111">
        <f t="shared" si="27"/>
        <v>0</v>
      </c>
      <c r="X11" s="111">
        <f t="shared" si="27"/>
        <v>0</v>
      </c>
      <c r="Y11" s="111">
        <f t="shared" si="27"/>
        <v>0</v>
      </c>
      <c r="Z11" s="111">
        <f t="shared" si="27"/>
        <v>0</v>
      </c>
      <c r="AA11" s="111">
        <f t="shared" si="27"/>
        <v>0</v>
      </c>
      <c r="AB11" s="111">
        <f t="shared" si="27"/>
        <v>0</v>
      </c>
      <c r="AC11" s="111">
        <f t="shared" si="27"/>
        <v>0</v>
      </c>
      <c r="AD11" s="111">
        <f t="shared" si="27"/>
        <v>0</v>
      </c>
      <c r="AE11" s="111">
        <f t="shared" si="27"/>
        <v>0</v>
      </c>
      <c r="AF11" s="111">
        <f t="shared" si="27"/>
        <v>0</v>
      </c>
      <c r="AG11" s="111">
        <f t="shared" si="27"/>
        <v>0</v>
      </c>
      <c r="AH11" s="111">
        <f t="shared" si="27"/>
        <v>0</v>
      </c>
      <c r="AI11" s="111">
        <f>$AP10*COS((AI1-$AP1)*1.5708)</f>
        <v>0</v>
      </c>
      <c r="AJ11" s="111">
        <f t="shared" ref="AJ11:AX11" si="28">$AP10*COS((AJ1-$AP1)*1.5708)</f>
        <v>0</v>
      </c>
      <c r="AK11" s="111">
        <f t="shared" si="28"/>
        <v>0</v>
      </c>
      <c r="AL11" s="111">
        <f t="shared" si="28"/>
        <v>0</v>
      </c>
      <c r="AM11" s="111">
        <f t="shared" si="28"/>
        <v>0</v>
      </c>
      <c r="AN11" s="111">
        <f t="shared" si="28"/>
        <v>0</v>
      </c>
      <c r="AO11" s="111">
        <f t="shared" si="28"/>
        <v>0</v>
      </c>
      <c r="AP11" s="111">
        <f t="shared" si="28"/>
        <v>0</v>
      </c>
      <c r="AQ11" s="111">
        <f t="shared" si="28"/>
        <v>0</v>
      </c>
      <c r="AR11" s="111">
        <f t="shared" si="28"/>
        <v>0</v>
      </c>
      <c r="AS11" s="111">
        <f t="shared" si="28"/>
        <v>0</v>
      </c>
      <c r="AT11" s="111">
        <f t="shared" si="28"/>
        <v>0</v>
      </c>
      <c r="AU11" s="111">
        <f t="shared" si="28"/>
        <v>0</v>
      </c>
      <c r="AV11" s="111">
        <f t="shared" si="28"/>
        <v>0</v>
      </c>
      <c r="AW11" s="111">
        <f t="shared" si="28"/>
        <v>0</v>
      </c>
      <c r="AX11" s="111">
        <f t="shared" si="28"/>
        <v>0</v>
      </c>
      <c r="AY11" s="111">
        <f>$BF10*COS((AY1-$BF1)*1.5708)</f>
        <v>0</v>
      </c>
      <c r="AZ11" s="111">
        <f t="shared" ref="AZ11:BN11" si="29">$BF10*COS((AZ1-$BF1)*1.5708)</f>
        <v>0</v>
      </c>
      <c r="BA11" s="111">
        <f t="shared" si="29"/>
        <v>0</v>
      </c>
      <c r="BB11" s="111">
        <f t="shared" si="29"/>
        <v>0</v>
      </c>
      <c r="BC11" s="111">
        <f t="shared" si="29"/>
        <v>0</v>
      </c>
      <c r="BD11" s="111">
        <f t="shared" si="29"/>
        <v>0</v>
      </c>
      <c r="BE11" s="111">
        <f t="shared" si="29"/>
        <v>0</v>
      </c>
      <c r="BF11" s="111">
        <f t="shared" si="29"/>
        <v>0</v>
      </c>
      <c r="BG11" s="111">
        <f t="shared" si="29"/>
        <v>0</v>
      </c>
      <c r="BH11" s="111">
        <f t="shared" si="29"/>
        <v>0</v>
      </c>
      <c r="BI11" s="111">
        <f t="shared" si="29"/>
        <v>0</v>
      </c>
      <c r="BJ11" s="111">
        <f t="shared" si="29"/>
        <v>0</v>
      </c>
      <c r="BK11" s="111">
        <f t="shared" si="29"/>
        <v>0</v>
      </c>
      <c r="BL11" s="111">
        <f t="shared" si="29"/>
        <v>0</v>
      </c>
      <c r="BM11" s="111">
        <f t="shared" si="29"/>
        <v>0</v>
      </c>
      <c r="BN11" s="111">
        <f t="shared" si="29"/>
        <v>0</v>
      </c>
      <c r="BO11" s="111">
        <f>$BV10*COS((BO1-$BV1)*1.5708)</f>
        <v>0</v>
      </c>
      <c r="BP11" s="111">
        <f t="shared" ref="BP11:CD11" si="30">$BV10*COS((BP1-$BV1)*1.5708)</f>
        <v>0</v>
      </c>
      <c r="BQ11" s="111">
        <f t="shared" si="30"/>
        <v>0</v>
      </c>
      <c r="BR11" s="111">
        <f t="shared" si="30"/>
        <v>0</v>
      </c>
      <c r="BS11" s="111">
        <f t="shared" si="30"/>
        <v>0</v>
      </c>
      <c r="BT11" s="111">
        <f t="shared" si="30"/>
        <v>0</v>
      </c>
      <c r="BU11" s="111">
        <f t="shared" si="30"/>
        <v>0</v>
      </c>
      <c r="BV11" s="111">
        <f t="shared" si="30"/>
        <v>0</v>
      </c>
      <c r="BW11" s="111">
        <f t="shared" si="30"/>
        <v>0</v>
      </c>
      <c r="BX11" s="111">
        <f t="shared" si="30"/>
        <v>0</v>
      </c>
      <c r="BY11" s="111">
        <f t="shared" si="30"/>
        <v>0</v>
      </c>
      <c r="BZ11" s="111">
        <f t="shared" si="30"/>
        <v>0</v>
      </c>
      <c r="CA11" s="111">
        <f t="shared" si="30"/>
        <v>0</v>
      </c>
      <c r="CB11" s="111">
        <f t="shared" si="30"/>
        <v>0</v>
      </c>
      <c r="CC11" s="111">
        <f t="shared" si="30"/>
        <v>0</v>
      </c>
      <c r="CD11" s="111">
        <f t="shared" si="30"/>
        <v>0</v>
      </c>
      <c r="CE11" s="111">
        <f>$CL10*COS((CE1-$CL1)*1.57)</f>
        <v>0</v>
      </c>
      <c r="CF11" s="111">
        <f t="shared" ref="CF11:CT11" si="31">$CL10*COS((CF1-$CL1)*1.57)</f>
        <v>0</v>
      </c>
      <c r="CG11" s="111">
        <f t="shared" si="31"/>
        <v>0</v>
      </c>
      <c r="CH11" s="111">
        <f t="shared" si="31"/>
        <v>0</v>
      </c>
      <c r="CI11" s="111">
        <f t="shared" si="31"/>
        <v>0</v>
      </c>
      <c r="CJ11" s="111">
        <f t="shared" si="31"/>
        <v>0</v>
      </c>
      <c r="CK11" s="111">
        <f t="shared" si="31"/>
        <v>0</v>
      </c>
      <c r="CL11" s="111">
        <f t="shared" si="31"/>
        <v>0</v>
      </c>
      <c r="CM11" s="111">
        <f t="shared" si="31"/>
        <v>0</v>
      </c>
      <c r="CN11" s="111">
        <f t="shared" si="31"/>
        <v>0</v>
      </c>
      <c r="CO11" s="111">
        <f t="shared" si="31"/>
        <v>0</v>
      </c>
      <c r="CP11" s="111">
        <f t="shared" si="31"/>
        <v>0</v>
      </c>
      <c r="CQ11" s="111">
        <f t="shared" si="31"/>
        <v>0</v>
      </c>
      <c r="CR11" s="111">
        <f t="shared" si="31"/>
        <v>0</v>
      </c>
      <c r="CS11" s="111">
        <f t="shared" si="31"/>
        <v>0</v>
      </c>
      <c r="CT11" s="111">
        <f t="shared" si="31"/>
        <v>0</v>
      </c>
      <c r="CU11" s="111">
        <f>$DB10*COS((CU1-$DB1)*1.5708)</f>
        <v>0</v>
      </c>
      <c r="CV11" s="111">
        <f t="shared" ref="CV11:DB11" si="32">$DB10*COS((CV1-$DB1)*1.5708)</f>
        <v>0</v>
      </c>
      <c r="CW11" s="111">
        <f t="shared" si="32"/>
        <v>0</v>
      </c>
      <c r="CX11" s="111">
        <f t="shared" si="32"/>
        <v>0</v>
      </c>
      <c r="CY11" s="111">
        <f t="shared" si="32"/>
        <v>0</v>
      </c>
      <c r="CZ11" s="111">
        <f t="shared" si="32"/>
        <v>0</v>
      </c>
      <c r="DA11" s="111">
        <f t="shared" si="32"/>
        <v>0</v>
      </c>
      <c r="DB11" s="111">
        <f t="shared" si="32"/>
        <v>0</v>
      </c>
    </row>
    <row r="12" spans="1:124" s="111" customFormat="1" ht="2.1" customHeight="1">
      <c r="A12" s="111" t="s">
        <v>72</v>
      </c>
      <c r="R12" s="111">
        <f>R9+R11</f>
        <v>0</v>
      </c>
      <c r="S12" s="111">
        <f t="shared" ref="S12:CD12" si="33">S9+S11</f>
        <v>0</v>
      </c>
      <c r="T12" s="111">
        <f t="shared" si="33"/>
        <v>0</v>
      </c>
      <c r="U12" s="111">
        <f t="shared" si="33"/>
        <v>0</v>
      </c>
      <c r="V12" s="111">
        <f t="shared" si="33"/>
        <v>0</v>
      </c>
      <c r="W12" s="111">
        <f t="shared" si="33"/>
        <v>0</v>
      </c>
      <c r="X12" s="111">
        <f t="shared" si="33"/>
        <v>0</v>
      </c>
      <c r="Y12" s="111">
        <f t="shared" si="33"/>
        <v>0</v>
      </c>
      <c r="Z12" s="111">
        <f t="shared" si="33"/>
        <v>0</v>
      </c>
      <c r="AA12" s="111">
        <f t="shared" si="33"/>
        <v>0</v>
      </c>
      <c r="AB12" s="111">
        <f t="shared" si="33"/>
        <v>0</v>
      </c>
      <c r="AC12" s="111">
        <f t="shared" si="33"/>
        <v>0</v>
      </c>
      <c r="AD12" s="111">
        <f t="shared" si="33"/>
        <v>0</v>
      </c>
      <c r="AE12" s="111">
        <f t="shared" si="33"/>
        <v>0</v>
      </c>
      <c r="AF12" s="111">
        <f t="shared" si="33"/>
        <v>0</v>
      </c>
      <c r="AG12" s="111">
        <f t="shared" si="33"/>
        <v>0</v>
      </c>
      <c r="AH12" s="111">
        <f t="shared" si="33"/>
        <v>0</v>
      </c>
      <c r="AI12" s="111">
        <f t="shared" si="33"/>
        <v>0</v>
      </c>
      <c r="AJ12" s="111">
        <f t="shared" si="33"/>
        <v>0</v>
      </c>
      <c r="AK12" s="111">
        <f t="shared" si="33"/>
        <v>0</v>
      </c>
      <c r="AL12" s="111">
        <f t="shared" si="33"/>
        <v>0</v>
      </c>
      <c r="AM12" s="111">
        <f t="shared" si="33"/>
        <v>0</v>
      </c>
      <c r="AN12" s="111">
        <f t="shared" si="33"/>
        <v>0</v>
      </c>
      <c r="AO12" s="111">
        <f t="shared" si="33"/>
        <v>0</v>
      </c>
      <c r="AP12" s="111">
        <f t="shared" si="33"/>
        <v>0</v>
      </c>
      <c r="AQ12" s="111">
        <f t="shared" si="33"/>
        <v>0</v>
      </c>
      <c r="AR12" s="111">
        <f t="shared" si="33"/>
        <v>0</v>
      </c>
      <c r="AS12" s="111">
        <f t="shared" si="33"/>
        <v>0</v>
      </c>
      <c r="AT12" s="111">
        <f t="shared" si="33"/>
        <v>0</v>
      </c>
      <c r="AU12" s="111">
        <f t="shared" si="33"/>
        <v>0</v>
      </c>
      <c r="AV12" s="111">
        <f t="shared" si="33"/>
        <v>0</v>
      </c>
      <c r="AW12" s="111">
        <f t="shared" si="33"/>
        <v>0</v>
      </c>
      <c r="AX12" s="111">
        <f t="shared" si="33"/>
        <v>0</v>
      </c>
      <c r="AY12" s="111">
        <f t="shared" si="33"/>
        <v>0</v>
      </c>
      <c r="AZ12" s="111">
        <f t="shared" si="33"/>
        <v>0</v>
      </c>
      <c r="BA12" s="111">
        <f t="shared" si="33"/>
        <v>0</v>
      </c>
      <c r="BB12" s="111">
        <f t="shared" si="33"/>
        <v>0</v>
      </c>
      <c r="BC12" s="111">
        <f t="shared" si="33"/>
        <v>0</v>
      </c>
      <c r="BD12" s="111">
        <f t="shared" si="33"/>
        <v>0</v>
      </c>
      <c r="BE12" s="111">
        <f t="shared" si="33"/>
        <v>0</v>
      </c>
      <c r="BF12" s="111">
        <f t="shared" si="33"/>
        <v>0</v>
      </c>
      <c r="BG12" s="111">
        <f t="shared" si="33"/>
        <v>0</v>
      </c>
      <c r="BH12" s="111">
        <f t="shared" si="33"/>
        <v>0</v>
      </c>
      <c r="BI12" s="111">
        <f t="shared" si="33"/>
        <v>0</v>
      </c>
      <c r="BJ12" s="111">
        <f t="shared" si="33"/>
        <v>0</v>
      </c>
      <c r="BK12" s="111">
        <f t="shared" si="33"/>
        <v>0</v>
      </c>
      <c r="BL12" s="111">
        <f t="shared" si="33"/>
        <v>0</v>
      </c>
      <c r="BM12" s="111">
        <f t="shared" si="33"/>
        <v>0</v>
      </c>
      <c r="BN12" s="111">
        <f t="shared" si="33"/>
        <v>0</v>
      </c>
      <c r="BO12" s="111">
        <f t="shared" si="33"/>
        <v>0</v>
      </c>
      <c r="BP12" s="111">
        <f t="shared" si="33"/>
        <v>0</v>
      </c>
      <c r="BQ12" s="111">
        <f t="shared" si="33"/>
        <v>0</v>
      </c>
      <c r="BR12" s="111">
        <f t="shared" si="33"/>
        <v>0</v>
      </c>
      <c r="BS12" s="111">
        <f t="shared" si="33"/>
        <v>0</v>
      </c>
      <c r="BT12" s="111">
        <f t="shared" si="33"/>
        <v>0</v>
      </c>
      <c r="BU12" s="111">
        <f t="shared" si="33"/>
        <v>0</v>
      </c>
      <c r="BV12" s="111">
        <f t="shared" si="33"/>
        <v>0</v>
      </c>
      <c r="BW12" s="111">
        <f t="shared" si="33"/>
        <v>0</v>
      </c>
      <c r="BX12" s="111">
        <f t="shared" si="33"/>
        <v>0</v>
      </c>
      <c r="BY12" s="111">
        <f t="shared" si="33"/>
        <v>0</v>
      </c>
      <c r="BZ12" s="111">
        <f t="shared" si="33"/>
        <v>0</v>
      </c>
      <c r="CA12" s="111">
        <f t="shared" si="33"/>
        <v>0</v>
      </c>
      <c r="CB12" s="111">
        <f t="shared" si="33"/>
        <v>0</v>
      </c>
      <c r="CC12" s="111">
        <f t="shared" si="33"/>
        <v>0</v>
      </c>
      <c r="CD12" s="111">
        <f t="shared" si="33"/>
        <v>0</v>
      </c>
      <c r="CE12" s="111">
        <f t="shared" ref="CE12:DB12" si="34">CE9+CE11</f>
        <v>0</v>
      </c>
      <c r="CF12" s="111">
        <f t="shared" si="34"/>
        <v>0</v>
      </c>
      <c r="CG12" s="111">
        <f t="shared" si="34"/>
        <v>0</v>
      </c>
      <c r="CH12" s="111">
        <f t="shared" si="34"/>
        <v>0</v>
      </c>
      <c r="CI12" s="111">
        <f t="shared" si="34"/>
        <v>0</v>
      </c>
      <c r="CJ12" s="111">
        <f t="shared" si="34"/>
        <v>0</v>
      </c>
      <c r="CK12" s="111">
        <f t="shared" si="34"/>
        <v>0</v>
      </c>
      <c r="CL12" s="111">
        <f t="shared" si="34"/>
        <v>0</v>
      </c>
      <c r="CM12" s="111">
        <f t="shared" si="34"/>
        <v>0</v>
      </c>
      <c r="CN12" s="111">
        <f t="shared" si="34"/>
        <v>0</v>
      </c>
      <c r="CO12" s="111">
        <f t="shared" si="34"/>
        <v>0</v>
      </c>
      <c r="CP12" s="111">
        <f t="shared" si="34"/>
        <v>0</v>
      </c>
      <c r="CQ12" s="111">
        <f t="shared" si="34"/>
        <v>0</v>
      </c>
      <c r="CR12" s="111">
        <f t="shared" si="34"/>
        <v>0</v>
      </c>
      <c r="CS12" s="111">
        <f t="shared" si="34"/>
        <v>0</v>
      </c>
      <c r="CT12" s="111">
        <f t="shared" si="34"/>
        <v>0</v>
      </c>
      <c r="CU12" s="111">
        <f t="shared" si="34"/>
        <v>0</v>
      </c>
      <c r="CV12" s="111">
        <f t="shared" si="34"/>
        <v>0</v>
      </c>
      <c r="CW12" s="111">
        <f t="shared" si="34"/>
        <v>0</v>
      </c>
      <c r="CX12" s="111">
        <f t="shared" si="34"/>
        <v>0</v>
      </c>
      <c r="CY12" s="111">
        <f t="shared" si="34"/>
        <v>0</v>
      </c>
      <c r="CZ12" s="111">
        <f t="shared" si="34"/>
        <v>0</v>
      </c>
      <c r="DA12" s="111">
        <f t="shared" si="34"/>
        <v>0</v>
      </c>
      <c r="DB12" s="111">
        <f t="shared" si="34"/>
        <v>0</v>
      </c>
    </row>
    <row r="13" spans="1:124" s="114" customFormat="1" ht="2.1" customHeight="1">
      <c r="A13" s="114" t="s">
        <v>10</v>
      </c>
      <c r="B13" s="133">
        <f>$J4-($J4-$R4)/($B2-$J2)</f>
        <v>0</v>
      </c>
      <c r="C13" s="133">
        <f t="shared" ref="C13:I13" si="35">$B13+($B13-$J13)/($B2-$J2)*(C2-$B2)</f>
        <v>0</v>
      </c>
      <c r="D13" s="133">
        <f t="shared" si="35"/>
        <v>0</v>
      </c>
      <c r="E13" s="133">
        <f t="shared" si="35"/>
        <v>0</v>
      </c>
      <c r="F13" s="133">
        <f t="shared" si="35"/>
        <v>0</v>
      </c>
      <c r="G13" s="133">
        <f t="shared" si="35"/>
        <v>0</v>
      </c>
      <c r="H13" s="133">
        <f t="shared" si="35"/>
        <v>0</v>
      </c>
      <c r="I13" s="133">
        <f t="shared" si="35"/>
        <v>0</v>
      </c>
      <c r="J13" s="133">
        <f>J4</f>
        <v>0</v>
      </c>
      <c r="K13" s="133">
        <f>K8</f>
        <v>0</v>
      </c>
      <c r="L13" s="133">
        <f t="shared" ref="L13:Q13" si="36">L8</f>
        <v>0</v>
      </c>
      <c r="M13" s="133">
        <f t="shared" si="36"/>
        <v>0</v>
      </c>
      <c r="N13" s="133">
        <f t="shared" si="36"/>
        <v>0</v>
      </c>
      <c r="O13" s="133">
        <f t="shared" si="36"/>
        <v>0</v>
      </c>
      <c r="P13" s="133">
        <f t="shared" si="36"/>
        <v>0</v>
      </c>
      <c r="Q13" s="133">
        <f t="shared" si="36"/>
        <v>0</v>
      </c>
      <c r="R13" s="133">
        <f>(R12+R8)/2</f>
        <v>0</v>
      </c>
      <c r="S13" s="133">
        <f t="shared" ref="S13:CD13" si="37">(S12+S8)/2</f>
        <v>0</v>
      </c>
      <c r="T13" s="133">
        <f t="shared" si="37"/>
        <v>0</v>
      </c>
      <c r="U13" s="133">
        <f t="shared" si="37"/>
        <v>0</v>
      </c>
      <c r="V13" s="133">
        <f t="shared" si="37"/>
        <v>0</v>
      </c>
      <c r="W13" s="133">
        <f t="shared" si="37"/>
        <v>0</v>
      </c>
      <c r="X13" s="133">
        <f t="shared" si="37"/>
        <v>0</v>
      </c>
      <c r="Y13" s="133">
        <f t="shared" si="37"/>
        <v>0</v>
      </c>
      <c r="Z13" s="133">
        <f t="shared" si="37"/>
        <v>0</v>
      </c>
      <c r="AA13" s="133">
        <f t="shared" si="37"/>
        <v>0</v>
      </c>
      <c r="AB13" s="133">
        <f t="shared" si="37"/>
        <v>0</v>
      </c>
      <c r="AC13" s="133">
        <f t="shared" si="37"/>
        <v>0</v>
      </c>
      <c r="AD13" s="133">
        <f t="shared" si="37"/>
        <v>0</v>
      </c>
      <c r="AE13" s="133">
        <f t="shared" si="37"/>
        <v>0</v>
      </c>
      <c r="AF13" s="133">
        <f t="shared" si="37"/>
        <v>0</v>
      </c>
      <c r="AG13" s="133">
        <f t="shared" si="37"/>
        <v>0</v>
      </c>
      <c r="AH13" s="133">
        <f t="shared" si="37"/>
        <v>0</v>
      </c>
      <c r="AI13" s="133">
        <f t="shared" si="37"/>
        <v>0</v>
      </c>
      <c r="AJ13" s="133">
        <f t="shared" si="37"/>
        <v>0</v>
      </c>
      <c r="AK13" s="133">
        <f t="shared" si="37"/>
        <v>0</v>
      </c>
      <c r="AL13" s="133">
        <f t="shared" si="37"/>
        <v>0</v>
      </c>
      <c r="AM13" s="133">
        <f t="shared" si="37"/>
        <v>0</v>
      </c>
      <c r="AN13" s="133">
        <f t="shared" si="37"/>
        <v>0</v>
      </c>
      <c r="AO13" s="133">
        <f t="shared" si="37"/>
        <v>0</v>
      </c>
      <c r="AP13" s="133">
        <f t="shared" si="37"/>
        <v>0</v>
      </c>
      <c r="AQ13" s="133">
        <f t="shared" si="37"/>
        <v>0</v>
      </c>
      <c r="AR13" s="133">
        <f t="shared" si="37"/>
        <v>0</v>
      </c>
      <c r="AS13" s="133">
        <f t="shared" si="37"/>
        <v>0</v>
      </c>
      <c r="AT13" s="133">
        <f t="shared" si="37"/>
        <v>0</v>
      </c>
      <c r="AU13" s="133">
        <f t="shared" si="37"/>
        <v>0</v>
      </c>
      <c r="AV13" s="133">
        <f t="shared" si="37"/>
        <v>0</v>
      </c>
      <c r="AW13" s="133">
        <f t="shared" si="37"/>
        <v>0</v>
      </c>
      <c r="AX13" s="133">
        <f t="shared" si="37"/>
        <v>0</v>
      </c>
      <c r="AY13" s="133">
        <f t="shared" si="37"/>
        <v>0</v>
      </c>
      <c r="AZ13" s="133">
        <f t="shared" si="37"/>
        <v>0</v>
      </c>
      <c r="BA13" s="133">
        <f t="shared" si="37"/>
        <v>0</v>
      </c>
      <c r="BB13" s="133">
        <f t="shared" si="37"/>
        <v>0</v>
      </c>
      <c r="BC13" s="133">
        <f t="shared" si="37"/>
        <v>0</v>
      </c>
      <c r="BD13" s="133">
        <f t="shared" si="37"/>
        <v>0</v>
      </c>
      <c r="BE13" s="133">
        <f t="shared" si="37"/>
        <v>0</v>
      </c>
      <c r="BF13" s="133">
        <f t="shared" si="37"/>
        <v>0</v>
      </c>
      <c r="BG13" s="133">
        <f t="shared" si="37"/>
        <v>0</v>
      </c>
      <c r="BH13" s="133">
        <f t="shared" si="37"/>
        <v>0</v>
      </c>
      <c r="BI13" s="133">
        <f t="shared" si="37"/>
        <v>0</v>
      </c>
      <c r="BJ13" s="133">
        <f t="shared" si="37"/>
        <v>0</v>
      </c>
      <c r="BK13" s="133">
        <f t="shared" si="37"/>
        <v>0</v>
      </c>
      <c r="BL13" s="133">
        <f t="shared" si="37"/>
        <v>0</v>
      </c>
      <c r="BM13" s="133">
        <f t="shared" si="37"/>
        <v>0</v>
      </c>
      <c r="BN13" s="133">
        <f t="shared" si="37"/>
        <v>0</v>
      </c>
      <c r="BO13" s="133">
        <f t="shared" si="37"/>
        <v>0</v>
      </c>
      <c r="BP13" s="133">
        <f t="shared" si="37"/>
        <v>0</v>
      </c>
      <c r="BQ13" s="133">
        <f t="shared" si="37"/>
        <v>0</v>
      </c>
      <c r="BR13" s="133">
        <f t="shared" si="37"/>
        <v>0</v>
      </c>
      <c r="BS13" s="133">
        <f t="shared" si="37"/>
        <v>0</v>
      </c>
      <c r="BT13" s="133">
        <f t="shared" si="37"/>
        <v>0</v>
      </c>
      <c r="BU13" s="133">
        <f t="shared" si="37"/>
        <v>0</v>
      </c>
      <c r="BV13" s="133">
        <f t="shared" si="37"/>
        <v>0</v>
      </c>
      <c r="BW13" s="133">
        <f t="shared" si="37"/>
        <v>0</v>
      </c>
      <c r="BX13" s="133">
        <f t="shared" si="37"/>
        <v>0</v>
      </c>
      <c r="BY13" s="133">
        <f t="shared" si="37"/>
        <v>0</v>
      </c>
      <c r="BZ13" s="133">
        <f t="shared" si="37"/>
        <v>0</v>
      </c>
      <c r="CA13" s="133">
        <f t="shared" si="37"/>
        <v>0</v>
      </c>
      <c r="CB13" s="133">
        <f t="shared" si="37"/>
        <v>0</v>
      </c>
      <c r="CC13" s="133">
        <f t="shared" si="37"/>
        <v>0</v>
      </c>
      <c r="CD13" s="133">
        <f t="shared" si="37"/>
        <v>0</v>
      </c>
      <c r="CE13" s="133">
        <f t="shared" ref="CE13:DB13" si="38">(CE12+CE8)/2</f>
        <v>0</v>
      </c>
      <c r="CF13" s="133">
        <f t="shared" si="38"/>
        <v>0</v>
      </c>
      <c r="CG13" s="133">
        <f t="shared" si="38"/>
        <v>0</v>
      </c>
      <c r="CH13" s="133">
        <f t="shared" si="38"/>
        <v>0</v>
      </c>
      <c r="CI13" s="133">
        <f t="shared" si="38"/>
        <v>0</v>
      </c>
      <c r="CJ13" s="133">
        <f t="shared" si="38"/>
        <v>0</v>
      </c>
      <c r="CK13" s="133">
        <f t="shared" si="38"/>
        <v>0</v>
      </c>
      <c r="CL13" s="133">
        <f t="shared" si="38"/>
        <v>0</v>
      </c>
      <c r="CM13" s="133">
        <f t="shared" si="38"/>
        <v>0</v>
      </c>
      <c r="CN13" s="133">
        <f t="shared" si="38"/>
        <v>0</v>
      </c>
      <c r="CO13" s="133">
        <f t="shared" si="38"/>
        <v>0</v>
      </c>
      <c r="CP13" s="133">
        <f t="shared" si="38"/>
        <v>0</v>
      </c>
      <c r="CQ13" s="133">
        <f t="shared" si="38"/>
        <v>0</v>
      </c>
      <c r="CR13" s="133">
        <f t="shared" si="38"/>
        <v>0</v>
      </c>
      <c r="CS13" s="133">
        <f t="shared" si="38"/>
        <v>0</v>
      </c>
      <c r="CT13" s="133">
        <f t="shared" si="38"/>
        <v>0</v>
      </c>
      <c r="CU13" s="133">
        <f t="shared" si="38"/>
        <v>0</v>
      </c>
      <c r="CV13" s="133">
        <f t="shared" si="38"/>
        <v>0</v>
      </c>
      <c r="CW13" s="133">
        <f t="shared" si="38"/>
        <v>0</v>
      </c>
      <c r="CX13" s="133">
        <f t="shared" si="38"/>
        <v>0</v>
      </c>
      <c r="CY13" s="133">
        <f t="shared" si="38"/>
        <v>0</v>
      </c>
      <c r="CZ13" s="133">
        <f t="shared" si="38"/>
        <v>0</v>
      </c>
      <c r="DA13" s="133">
        <f t="shared" si="38"/>
        <v>0</v>
      </c>
      <c r="DB13" s="133">
        <f t="shared" si="38"/>
        <v>0</v>
      </c>
      <c r="DC13" s="115">
        <f>DC4</f>
        <v>0</v>
      </c>
      <c r="DD13" s="115">
        <f t="shared" ref="DD13:DI13" si="39">DD4</f>
        <v>0</v>
      </c>
      <c r="DE13" s="115">
        <f t="shared" si="39"/>
        <v>0</v>
      </c>
      <c r="DF13" s="115">
        <f t="shared" si="39"/>
        <v>0</v>
      </c>
      <c r="DG13" s="115">
        <f t="shared" si="39"/>
        <v>0</v>
      </c>
      <c r="DH13" s="115">
        <f t="shared" si="39"/>
        <v>0</v>
      </c>
      <c r="DI13" s="115">
        <f t="shared" si="39"/>
        <v>0</v>
      </c>
      <c r="DJ13" s="133"/>
      <c r="DK13" s="133"/>
      <c r="DL13" s="133"/>
      <c r="DM13" s="133"/>
      <c r="DN13" s="133"/>
      <c r="DO13" s="133"/>
      <c r="DP13" s="133"/>
      <c r="DQ13" s="133"/>
      <c r="DR13" s="133"/>
      <c r="DS13" s="133"/>
      <c r="DT13" s="133"/>
    </row>
    <row r="14" spans="1:124" s="116" customFormat="1" ht="2.1" customHeight="1">
      <c r="A14" s="114" t="s">
        <v>10</v>
      </c>
      <c r="B14" s="114"/>
      <c r="C14" s="114"/>
      <c r="D14" s="114"/>
      <c r="E14" s="114"/>
      <c r="F14" s="114"/>
      <c r="G14" s="114"/>
      <c r="H14" s="114"/>
      <c r="I14" s="114"/>
      <c r="J14" s="115">
        <f>J13</f>
        <v>0</v>
      </c>
      <c r="K14" s="115">
        <f t="shared" ref="K14:BV14" si="40">K13</f>
        <v>0</v>
      </c>
      <c r="L14" s="115">
        <f t="shared" si="40"/>
        <v>0</v>
      </c>
      <c r="M14" s="115">
        <f t="shared" si="40"/>
        <v>0</v>
      </c>
      <c r="N14" s="115">
        <f t="shared" si="40"/>
        <v>0</v>
      </c>
      <c r="O14" s="115">
        <f t="shared" si="40"/>
        <v>0</v>
      </c>
      <c r="P14" s="115">
        <f t="shared" si="40"/>
        <v>0</v>
      </c>
      <c r="Q14" s="115">
        <f t="shared" si="40"/>
        <v>0</v>
      </c>
      <c r="R14" s="115">
        <f t="shared" si="40"/>
        <v>0</v>
      </c>
      <c r="S14" s="115">
        <f t="shared" si="40"/>
        <v>0</v>
      </c>
      <c r="T14" s="115">
        <f t="shared" si="40"/>
        <v>0</v>
      </c>
      <c r="U14" s="115">
        <f t="shared" si="40"/>
        <v>0</v>
      </c>
      <c r="V14" s="115">
        <f t="shared" si="40"/>
        <v>0</v>
      </c>
      <c r="W14" s="115">
        <f t="shared" si="40"/>
        <v>0</v>
      </c>
      <c r="X14" s="115">
        <f t="shared" si="40"/>
        <v>0</v>
      </c>
      <c r="Y14" s="115">
        <f t="shared" si="40"/>
        <v>0</v>
      </c>
      <c r="Z14" s="115">
        <f t="shared" si="40"/>
        <v>0</v>
      </c>
      <c r="AA14" s="115">
        <f t="shared" si="40"/>
        <v>0</v>
      </c>
      <c r="AB14" s="115">
        <f t="shared" si="40"/>
        <v>0</v>
      </c>
      <c r="AC14" s="115">
        <f t="shared" si="40"/>
        <v>0</v>
      </c>
      <c r="AD14" s="115">
        <f t="shared" si="40"/>
        <v>0</v>
      </c>
      <c r="AE14" s="115">
        <f t="shared" si="40"/>
        <v>0</v>
      </c>
      <c r="AF14" s="115">
        <f t="shared" si="40"/>
        <v>0</v>
      </c>
      <c r="AG14" s="115">
        <f t="shared" si="40"/>
        <v>0</v>
      </c>
      <c r="AH14" s="115">
        <f t="shared" si="40"/>
        <v>0</v>
      </c>
      <c r="AI14" s="115">
        <f t="shared" si="40"/>
        <v>0</v>
      </c>
      <c r="AJ14" s="115">
        <f t="shared" si="40"/>
        <v>0</v>
      </c>
      <c r="AK14" s="115">
        <f t="shared" si="40"/>
        <v>0</v>
      </c>
      <c r="AL14" s="115">
        <f t="shared" si="40"/>
        <v>0</v>
      </c>
      <c r="AM14" s="115">
        <f t="shared" si="40"/>
        <v>0</v>
      </c>
      <c r="AN14" s="115">
        <f t="shared" si="40"/>
        <v>0</v>
      </c>
      <c r="AO14" s="115">
        <f t="shared" si="40"/>
        <v>0</v>
      </c>
      <c r="AP14" s="115">
        <f t="shared" si="40"/>
        <v>0</v>
      </c>
      <c r="AQ14" s="115">
        <f t="shared" si="40"/>
        <v>0</v>
      </c>
      <c r="AR14" s="115">
        <f t="shared" si="40"/>
        <v>0</v>
      </c>
      <c r="AS14" s="115">
        <f t="shared" si="40"/>
        <v>0</v>
      </c>
      <c r="AT14" s="115">
        <f t="shared" si="40"/>
        <v>0</v>
      </c>
      <c r="AU14" s="115">
        <f t="shared" si="40"/>
        <v>0</v>
      </c>
      <c r="AV14" s="115">
        <f t="shared" si="40"/>
        <v>0</v>
      </c>
      <c r="AW14" s="115">
        <f t="shared" si="40"/>
        <v>0</v>
      </c>
      <c r="AX14" s="115">
        <f t="shared" si="40"/>
        <v>0</v>
      </c>
      <c r="AY14" s="115">
        <f t="shared" si="40"/>
        <v>0</v>
      </c>
      <c r="AZ14" s="115">
        <f t="shared" si="40"/>
        <v>0</v>
      </c>
      <c r="BA14" s="115">
        <f t="shared" si="40"/>
        <v>0</v>
      </c>
      <c r="BB14" s="115">
        <f t="shared" si="40"/>
        <v>0</v>
      </c>
      <c r="BC14" s="115">
        <f t="shared" si="40"/>
        <v>0</v>
      </c>
      <c r="BD14" s="115">
        <f t="shared" si="40"/>
        <v>0</v>
      </c>
      <c r="BE14" s="115">
        <f t="shared" si="40"/>
        <v>0</v>
      </c>
      <c r="BF14" s="115">
        <f t="shared" si="40"/>
        <v>0</v>
      </c>
      <c r="BG14" s="115">
        <f t="shared" si="40"/>
        <v>0</v>
      </c>
      <c r="BH14" s="115">
        <f t="shared" si="40"/>
        <v>0</v>
      </c>
      <c r="BI14" s="115">
        <f t="shared" si="40"/>
        <v>0</v>
      </c>
      <c r="BJ14" s="115">
        <f t="shared" si="40"/>
        <v>0</v>
      </c>
      <c r="BK14" s="115">
        <f t="shared" si="40"/>
        <v>0</v>
      </c>
      <c r="BL14" s="115">
        <f t="shared" si="40"/>
        <v>0</v>
      </c>
      <c r="BM14" s="115">
        <f t="shared" si="40"/>
        <v>0</v>
      </c>
      <c r="BN14" s="115">
        <f t="shared" si="40"/>
        <v>0</v>
      </c>
      <c r="BO14" s="115">
        <f t="shared" si="40"/>
        <v>0</v>
      </c>
      <c r="BP14" s="115">
        <f t="shared" si="40"/>
        <v>0</v>
      </c>
      <c r="BQ14" s="115">
        <f t="shared" si="40"/>
        <v>0</v>
      </c>
      <c r="BR14" s="115">
        <f t="shared" si="40"/>
        <v>0</v>
      </c>
      <c r="BS14" s="115">
        <f t="shared" si="40"/>
        <v>0</v>
      </c>
      <c r="BT14" s="115">
        <f t="shared" si="40"/>
        <v>0</v>
      </c>
      <c r="BU14" s="115">
        <f t="shared" si="40"/>
        <v>0</v>
      </c>
      <c r="BV14" s="115">
        <f t="shared" si="40"/>
        <v>0</v>
      </c>
      <c r="BW14" s="115">
        <f t="shared" ref="BW14:DI14" si="41">BW13</f>
        <v>0</v>
      </c>
      <c r="BX14" s="115">
        <f t="shared" si="41"/>
        <v>0</v>
      </c>
      <c r="BY14" s="115">
        <f t="shared" si="41"/>
        <v>0</v>
      </c>
      <c r="BZ14" s="115">
        <f t="shared" si="41"/>
        <v>0</v>
      </c>
      <c r="CA14" s="115">
        <f t="shared" si="41"/>
        <v>0</v>
      </c>
      <c r="CB14" s="115">
        <f t="shared" si="41"/>
        <v>0</v>
      </c>
      <c r="CC14" s="115">
        <f t="shared" si="41"/>
        <v>0</v>
      </c>
      <c r="CD14" s="115">
        <f t="shared" si="41"/>
        <v>0</v>
      </c>
      <c r="CE14" s="115">
        <f t="shared" si="41"/>
        <v>0</v>
      </c>
      <c r="CF14" s="115">
        <f t="shared" si="41"/>
        <v>0</v>
      </c>
      <c r="CG14" s="115">
        <f t="shared" si="41"/>
        <v>0</v>
      </c>
      <c r="CH14" s="115">
        <f t="shared" si="41"/>
        <v>0</v>
      </c>
      <c r="CI14" s="115">
        <f t="shared" si="41"/>
        <v>0</v>
      </c>
      <c r="CJ14" s="115">
        <f t="shared" si="41"/>
        <v>0</v>
      </c>
      <c r="CK14" s="115">
        <f t="shared" si="41"/>
        <v>0</v>
      </c>
      <c r="CL14" s="115">
        <f t="shared" si="41"/>
        <v>0</v>
      </c>
      <c r="CM14" s="115">
        <f t="shared" si="41"/>
        <v>0</v>
      </c>
      <c r="CN14" s="115">
        <f t="shared" si="41"/>
        <v>0</v>
      </c>
      <c r="CO14" s="115">
        <f t="shared" si="41"/>
        <v>0</v>
      </c>
      <c r="CP14" s="115">
        <f t="shared" si="41"/>
        <v>0</v>
      </c>
      <c r="CQ14" s="115">
        <f t="shared" si="41"/>
        <v>0</v>
      </c>
      <c r="CR14" s="115">
        <f t="shared" si="41"/>
        <v>0</v>
      </c>
      <c r="CS14" s="115">
        <f t="shared" si="41"/>
        <v>0</v>
      </c>
      <c r="CT14" s="115">
        <f t="shared" si="41"/>
        <v>0</v>
      </c>
      <c r="CU14" s="115">
        <f t="shared" si="41"/>
        <v>0</v>
      </c>
      <c r="CV14" s="115">
        <f t="shared" si="41"/>
        <v>0</v>
      </c>
      <c r="CW14" s="115">
        <f t="shared" si="41"/>
        <v>0</v>
      </c>
      <c r="CX14" s="115">
        <f t="shared" si="41"/>
        <v>0</v>
      </c>
      <c r="CY14" s="115">
        <f t="shared" si="41"/>
        <v>0</v>
      </c>
      <c r="CZ14" s="115">
        <f t="shared" si="41"/>
        <v>0</v>
      </c>
      <c r="DA14" s="115">
        <f t="shared" si="41"/>
        <v>0</v>
      </c>
      <c r="DB14" s="115">
        <f t="shared" si="41"/>
        <v>0</v>
      </c>
      <c r="DC14" s="115">
        <f t="shared" si="41"/>
        <v>0</v>
      </c>
      <c r="DD14" s="115">
        <f t="shared" si="41"/>
        <v>0</v>
      </c>
      <c r="DE14" s="115">
        <f t="shared" si="41"/>
        <v>0</v>
      </c>
      <c r="DF14" s="115">
        <f t="shared" si="41"/>
        <v>0</v>
      </c>
      <c r="DG14" s="115">
        <f t="shared" si="41"/>
        <v>0</v>
      </c>
      <c r="DH14" s="115">
        <f t="shared" si="41"/>
        <v>0</v>
      </c>
      <c r="DI14" s="115">
        <f t="shared" si="41"/>
        <v>0</v>
      </c>
    </row>
    <row r="15" spans="1:124" s="116" customFormat="1" ht="2.1" customHeight="1">
      <c r="A15" s="114" t="s">
        <v>59</v>
      </c>
      <c r="B15" s="114"/>
      <c r="C15" s="114"/>
      <c r="D15" s="114"/>
      <c r="E15" s="114"/>
      <c r="F15" s="114"/>
      <c r="G15" s="114"/>
      <c r="H15" s="114"/>
      <c r="I15" s="114"/>
      <c r="BF15" s="116">
        <f>BF14</f>
        <v>0</v>
      </c>
      <c r="BG15" s="116">
        <f>BE14</f>
        <v>0</v>
      </c>
      <c r="BH15" s="116">
        <f>BD14</f>
        <v>0</v>
      </c>
      <c r="BI15" s="116">
        <f>BC14</f>
        <v>0</v>
      </c>
      <c r="BJ15" s="116">
        <f>BB14</f>
        <v>0</v>
      </c>
      <c r="BK15" s="116">
        <f>BA14</f>
        <v>0</v>
      </c>
      <c r="BL15" s="116">
        <f>AZ14</f>
        <v>0</v>
      </c>
      <c r="BM15" s="116">
        <f>AY14</f>
        <v>0</v>
      </c>
      <c r="BN15" s="115">
        <f>AX14</f>
        <v>0</v>
      </c>
      <c r="BO15" s="116">
        <f>AW14</f>
        <v>0</v>
      </c>
      <c r="BP15" s="116">
        <f>AV14</f>
        <v>0</v>
      </c>
      <c r="BQ15" s="116">
        <f>AU14</f>
        <v>0</v>
      </c>
      <c r="BR15" s="116">
        <f>AT14</f>
        <v>0</v>
      </c>
      <c r="BS15" s="116">
        <f>AS14</f>
        <v>0</v>
      </c>
      <c r="BT15" s="116">
        <f>AR14</f>
        <v>0</v>
      </c>
      <c r="BU15" s="116">
        <f>AQ14</f>
        <v>0</v>
      </c>
      <c r="BV15" s="115">
        <f>AP14</f>
        <v>0</v>
      </c>
      <c r="BW15" s="116">
        <f>AO14</f>
        <v>0</v>
      </c>
      <c r="BX15" s="116">
        <f>AN14</f>
        <v>0</v>
      </c>
      <c r="BY15" s="116">
        <f>AM14</f>
        <v>0</v>
      </c>
      <c r="BZ15" s="116">
        <f>AL14</f>
        <v>0</v>
      </c>
      <c r="CA15" s="116">
        <f>AK14</f>
        <v>0</v>
      </c>
      <c r="CB15" s="116">
        <f>AJ14</f>
        <v>0</v>
      </c>
      <c r="CC15" s="116">
        <f>AI14</f>
        <v>0</v>
      </c>
      <c r="CD15" s="115">
        <f>AH14</f>
        <v>0</v>
      </c>
      <c r="CE15" s="116">
        <f>AG14</f>
        <v>0</v>
      </c>
      <c r="CF15" s="116">
        <f>AF14</f>
        <v>0</v>
      </c>
      <c r="CG15" s="116">
        <f>AE14</f>
        <v>0</v>
      </c>
      <c r="CH15" s="116">
        <f>AD14</f>
        <v>0</v>
      </c>
      <c r="CI15" s="116">
        <f>AC14</f>
        <v>0</v>
      </c>
      <c r="CJ15" s="116">
        <f>AB14</f>
        <v>0</v>
      </c>
      <c r="CK15" s="116">
        <f>AA14</f>
        <v>0</v>
      </c>
      <c r="CL15" s="115">
        <f>Z14</f>
        <v>0</v>
      </c>
      <c r="CM15" s="116">
        <f>Y14</f>
        <v>0</v>
      </c>
      <c r="CN15" s="116">
        <f>X14</f>
        <v>0</v>
      </c>
      <c r="CO15" s="116">
        <f>W14</f>
        <v>0</v>
      </c>
      <c r="CP15" s="116">
        <f>V14</f>
        <v>0</v>
      </c>
      <c r="CQ15" s="116">
        <f>U14</f>
        <v>0</v>
      </c>
      <c r="CR15" s="116">
        <f>T14</f>
        <v>0</v>
      </c>
      <c r="CS15" s="116">
        <f>S14</f>
        <v>0</v>
      </c>
      <c r="CT15" s="115">
        <f>R14</f>
        <v>0</v>
      </c>
      <c r="CU15" s="116">
        <f>Q14</f>
        <v>0</v>
      </c>
      <c r="CV15" s="116">
        <f>P14</f>
        <v>0</v>
      </c>
      <c r="CW15" s="116">
        <f>O14</f>
        <v>0</v>
      </c>
      <c r="CX15" s="116">
        <f>N14</f>
        <v>0</v>
      </c>
      <c r="CY15" s="116">
        <f>M14</f>
        <v>0</v>
      </c>
      <c r="CZ15" s="116">
        <f>L14</f>
        <v>0</v>
      </c>
      <c r="DA15" s="116">
        <f>K14</f>
        <v>0</v>
      </c>
      <c r="DB15" s="115">
        <f>J14</f>
        <v>0</v>
      </c>
    </row>
    <row r="16" spans="1:124" s="116" customFormat="1" ht="2.1" customHeight="1">
      <c r="A16" s="114" t="s">
        <v>15</v>
      </c>
      <c r="B16" s="114"/>
      <c r="C16" s="114"/>
      <c r="D16" s="114"/>
      <c r="E16" s="114"/>
      <c r="F16" s="114"/>
      <c r="G16" s="114"/>
      <c r="H16" s="114"/>
      <c r="I16" s="114"/>
      <c r="BF16" s="117">
        <f t="shared" ref="BF16:CT16" si="42">POWER(10,BF14/20)</f>
        <v>1</v>
      </c>
      <c r="BG16" s="117">
        <f t="shared" si="42"/>
        <v>1</v>
      </c>
      <c r="BH16" s="117">
        <f t="shared" si="42"/>
        <v>1</v>
      </c>
      <c r="BI16" s="117">
        <f t="shared" si="42"/>
        <v>1</v>
      </c>
      <c r="BJ16" s="117">
        <f t="shared" si="42"/>
        <v>1</v>
      </c>
      <c r="BK16" s="117">
        <f t="shared" si="42"/>
        <v>1</v>
      </c>
      <c r="BL16" s="117">
        <f t="shared" si="42"/>
        <v>1</v>
      </c>
      <c r="BM16" s="117">
        <f t="shared" si="42"/>
        <v>1</v>
      </c>
      <c r="BN16" s="117">
        <f t="shared" si="42"/>
        <v>1</v>
      </c>
      <c r="BO16" s="117">
        <f t="shared" si="42"/>
        <v>1</v>
      </c>
      <c r="BP16" s="117">
        <f t="shared" si="42"/>
        <v>1</v>
      </c>
      <c r="BQ16" s="117">
        <f t="shared" si="42"/>
        <v>1</v>
      </c>
      <c r="BR16" s="117">
        <f t="shared" si="42"/>
        <v>1</v>
      </c>
      <c r="BS16" s="117">
        <f t="shared" si="42"/>
        <v>1</v>
      </c>
      <c r="BT16" s="117">
        <f t="shared" si="42"/>
        <v>1</v>
      </c>
      <c r="BU16" s="117">
        <f t="shared" si="42"/>
        <v>1</v>
      </c>
      <c r="BV16" s="117">
        <f t="shared" si="42"/>
        <v>1</v>
      </c>
      <c r="BW16" s="117">
        <f t="shared" si="42"/>
        <v>1</v>
      </c>
      <c r="BX16" s="117">
        <f t="shared" si="42"/>
        <v>1</v>
      </c>
      <c r="BY16" s="117">
        <f t="shared" si="42"/>
        <v>1</v>
      </c>
      <c r="BZ16" s="117">
        <f t="shared" si="42"/>
        <v>1</v>
      </c>
      <c r="CA16" s="117">
        <f t="shared" si="42"/>
        <v>1</v>
      </c>
      <c r="CB16" s="117">
        <f t="shared" si="42"/>
        <v>1</v>
      </c>
      <c r="CC16" s="117">
        <f t="shared" si="42"/>
        <v>1</v>
      </c>
      <c r="CD16" s="117">
        <f t="shared" si="42"/>
        <v>1</v>
      </c>
      <c r="CE16" s="117">
        <f t="shared" si="42"/>
        <v>1</v>
      </c>
      <c r="CF16" s="117">
        <f t="shared" si="42"/>
        <v>1</v>
      </c>
      <c r="CG16" s="117">
        <f t="shared" si="42"/>
        <v>1</v>
      </c>
      <c r="CH16" s="117">
        <f t="shared" si="42"/>
        <v>1</v>
      </c>
      <c r="CI16" s="117">
        <f t="shared" si="42"/>
        <v>1</v>
      </c>
      <c r="CJ16" s="117">
        <f t="shared" si="42"/>
        <v>1</v>
      </c>
      <c r="CK16" s="117">
        <f t="shared" si="42"/>
        <v>1</v>
      </c>
      <c r="CL16" s="117">
        <f t="shared" si="42"/>
        <v>1</v>
      </c>
      <c r="CM16" s="117">
        <f t="shared" si="42"/>
        <v>1</v>
      </c>
      <c r="CN16" s="117">
        <f t="shared" si="42"/>
        <v>1</v>
      </c>
      <c r="CO16" s="117">
        <f t="shared" si="42"/>
        <v>1</v>
      </c>
      <c r="CP16" s="117">
        <f t="shared" si="42"/>
        <v>1</v>
      </c>
      <c r="CQ16" s="117">
        <f t="shared" si="42"/>
        <v>1</v>
      </c>
      <c r="CR16" s="117">
        <f t="shared" si="42"/>
        <v>1</v>
      </c>
      <c r="CS16" s="117">
        <f t="shared" si="42"/>
        <v>1</v>
      </c>
      <c r="CT16" s="117">
        <f t="shared" si="42"/>
        <v>1</v>
      </c>
      <c r="CU16" s="117">
        <f t="shared" ref="CU16:DA16" si="43">POWER(10,CU14/20)</f>
        <v>1</v>
      </c>
      <c r="CV16" s="117">
        <f t="shared" si="43"/>
        <v>1</v>
      </c>
      <c r="CW16" s="117">
        <f t="shared" si="43"/>
        <v>1</v>
      </c>
      <c r="CX16" s="117">
        <f t="shared" si="43"/>
        <v>1</v>
      </c>
      <c r="CY16" s="117">
        <f t="shared" si="43"/>
        <v>1</v>
      </c>
      <c r="CZ16" s="117">
        <f t="shared" si="43"/>
        <v>1</v>
      </c>
      <c r="DA16" s="117">
        <f t="shared" si="43"/>
        <v>1</v>
      </c>
      <c r="DB16" s="117">
        <f>POWER(10,DB14/20)</f>
        <v>1</v>
      </c>
      <c r="DC16" s="117"/>
      <c r="DD16" s="117"/>
      <c r="DE16" s="117"/>
      <c r="DF16" s="117"/>
      <c r="DG16" s="117"/>
      <c r="DH16" s="117"/>
      <c r="DI16" s="117"/>
    </row>
    <row r="17" spans="1:120" s="116" customFormat="1" ht="2.1" customHeight="1">
      <c r="A17" s="114" t="s">
        <v>16</v>
      </c>
      <c r="B17" s="114"/>
      <c r="C17" s="114"/>
      <c r="D17" s="114"/>
      <c r="E17" s="114"/>
      <c r="F17" s="114"/>
      <c r="G17" s="114"/>
      <c r="H17" s="114"/>
      <c r="I17" s="114"/>
      <c r="AX17" s="118"/>
      <c r="AY17" s="118"/>
      <c r="AZ17" s="118"/>
      <c r="BA17" s="118"/>
      <c r="BF17" s="117">
        <f t="shared" ref="BF17:CT17" si="44">POWER(10,BF15/20)</f>
        <v>1</v>
      </c>
      <c r="BG17" s="117">
        <f t="shared" si="44"/>
        <v>1</v>
      </c>
      <c r="BH17" s="117">
        <f t="shared" si="44"/>
        <v>1</v>
      </c>
      <c r="BI17" s="117">
        <f t="shared" si="44"/>
        <v>1</v>
      </c>
      <c r="BJ17" s="117">
        <f t="shared" si="44"/>
        <v>1</v>
      </c>
      <c r="BK17" s="117">
        <f t="shared" si="44"/>
        <v>1</v>
      </c>
      <c r="BL17" s="117">
        <f t="shared" si="44"/>
        <v>1</v>
      </c>
      <c r="BM17" s="117">
        <f t="shared" si="44"/>
        <v>1</v>
      </c>
      <c r="BN17" s="117">
        <f t="shared" si="44"/>
        <v>1</v>
      </c>
      <c r="BO17" s="117">
        <f t="shared" si="44"/>
        <v>1</v>
      </c>
      <c r="BP17" s="117">
        <f t="shared" si="44"/>
        <v>1</v>
      </c>
      <c r="BQ17" s="117">
        <f t="shared" si="44"/>
        <v>1</v>
      </c>
      <c r="BR17" s="117">
        <f t="shared" si="44"/>
        <v>1</v>
      </c>
      <c r="BS17" s="117">
        <f t="shared" si="44"/>
        <v>1</v>
      </c>
      <c r="BT17" s="117">
        <f t="shared" si="44"/>
        <v>1</v>
      </c>
      <c r="BU17" s="117">
        <f t="shared" si="44"/>
        <v>1</v>
      </c>
      <c r="BV17" s="117">
        <f t="shared" si="44"/>
        <v>1</v>
      </c>
      <c r="BW17" s="117">
        <f t="shared" si="44"/>
        <v>1</v>
      </c>
      <c r="BX17" s="117">
        <f t="shared" si="44"/>
        <v>1</v>
      </c>
      <c r="BY17" s="117">
        <f t="shared" si="44"/>
        <v>1</v>
      </c>
      <c r="BZ17" s="117">
        <f t="shared" si="44"/>
        <v>1</v>
      </c>
      <c r="CA17" s="117">
        <f t="shared" si="44"/>
        <v>1</v>
      </c>
      <c r="CB17" s="117">
        <f t="shared" si="44"/>
        <v>1</v>
      </c>
      <c r="CC17" s="117">
        <f t="shared" si="44"/>
        <v>1</v>
      </c>
      <c r="CD17" s="117">
        <f t="shared" si="44"/>
        <v>1</v>
      </c>
      <c r="CE17" s="117">
        <f t="shared" si="44"/>
        <v>1</v>
      </c>
      <c r="CF17" s="117">
        <f t="shared" si="44"/>
        <v>1</v>
      </c>
      <c r="CG17" s="117">
        <f t="shared" si="44"/>
        <v>1</v>
      </c>
      <c r="CH17" s="117">
        <f t="shared" si="44"/>
        <v>1</v>
      </c>
      <c r="CI17" s="117">
        <f t="shared" si="44"/>
        <v>1</v>
      </c>
      <c r="CJ17" s="117">
        <f t="shared" si="44"/>
        <v>1</v>
      </c>
      <c r="CK17" s="117">
        <f t="shared" si="44"/>
        <v>1</v>
      </c>
      <c r="CL17" s="117">
        <f t="shared" si="44"/>
        <v>1</v>
      </c>
      <c r="CM17" s="117">
        <f t="shared" si="44"/>
        <v>1</v>
      </c>
      <c r="CN17" s="117">
        <f t="shared" si="44"/>
        <v>1</v>
      </c>
      <c r="CO17" s="117">
        <f t="shared" si="44"/>
        <v>1</v>
      </c>
      <c r="CP17" s="117">
        <f t="shared" si="44"/>
        <v>1</v>
      </c>
      <c r="CQ17" s="117">
        <f t="shared" si="44"/>
        <v>1</v>
      </c>
      <c r="CR17" s="117">
        <f t="shared" si="44"/>
        <v>1</v>
      </c>
      <c r="CS17" s="117">
        <f t="shared" si="44"/>
        <v>1</v>
      </c>
      <c r="CT17" s="117">
        <f t="shared" si="44"/>
        <v>1</v>
      </c>
      <c r="CU17" s="117">
        <f t="shared" ref="CU17:DA17" si="45">POWER(10,CU15/20)</f>
        <v>1</v>
      </c>
      <c r="CV17" s="117">
        <f t="shared" si="45"/>
        <v>1</v>
      </c>
      <c r="CW17" s="117">
        <f t="shared" si="45"/>
        <v>1</v>
      </c>
      <c r="CX17" s="117">
        <f t="shared" si="45"/>
        <v>1</v>
      </c>
      <c r="CY17" s="117">
        <f t="shared" si="45"/>
        <v>1</v>
      </c>
      <c r="CZ17" s="117">
        <f t="shared" si="45"/>
        <v>1</v>
      </c>
      <c r="DA17" s="117">
        <f t="shared" si="45"/>
        <v>1</v>
      </c>
      <c r="DB17" s="117">
        <f>POWER(10,DB15/20)</f>
        <v>1</v>
      </c>
      <c r="DC17" s="117"/>
      <c r="DD17" s="117"/>
      <c r="DE17" s="117"/>
      <c r="DF17" s="117"/>
      <c r="DG17" s="117"/>
      <c r="DH17" s="117"/>
      <c r="DI17" s="117"/>
    </row>
    <row r="18" spans="1:120" s="116" customFormat="1" ht="2.1" customHeight="1">
      <c r="A18" s="114" t="s">
        <v>57</v>
      </c>
      <c r="B18" s="114"/>
      <c r="C18" s="114"/>
      <c r="D18" s="114"/>
      <c r="E18" s="114"/>
      <c r="F18" s="114"/>
      <c r="G18" s="114"/>
      <c r="H18" s="114"/>
      <c r="I18" s="114"/>
      <c r="AX18" s="118"/>
      <c r="AY18" s="118"/>
      <c r="AZ18" s="118"/>
      <c r="BA18" s="118"/>
      <c r="BF18" s="119">
        <f t="shared" ref="BF18:CK18" si="46">IF($A$51="Oui",1,0)</f>
        <v>1</v>
      </c>
      <c r="BG18" s="119">
        <f t="shared" si="46"/>
        <v>1</v>
      </c>
      <c r="BH18" s="119">
        <f t="shared" si="46"/>
        <v>1</v>
      </c>
      <c r="BI18" s="119">
        <f t="shared" si="46"/>
        <v>1</v>
      </c>
      <c r="BJ18" s="119">
        <f t="shared" si="46"/>
        <v>1</v>
      </c>
      <c r="BK18" s="119">
        <f t="shared" si="46"/>
        <v>1</v>
      </c>
      <c r="BL18" s="119">
        <f t="shared" si="46"/>
        <v>1</v>
      </c>
      <c r="BM18" s="119">
        <f t="shared" si="46"/>
        <v>1</v>
      </c>
      <c r="BN18" s="119">
        <f t="shared" si="46"/>
        <v>1</v>
      </c>
      <c r="BO18" s="119">
        <f t="shared" si="46"/>
        <v>1</v>
      </c>
      <c r="BP18" s="119">
        <f t="shared" si="46"/>
        <v>1</v>
      </c>
      <c r="BQ18" s="119">
        <f t="shared" si="46"/>
        <v>1</v>
      </c>
      <c r="BR18" s="119">
        <f t="shared" si="46"/>
        <v>1</v>
      </c>
      <c r="BS18" s="119">
        <f t="shared" si="46"/>
        <v>1</v>
      </c>
      <c r="BT18" s="119">
        <f t="shared" si="46"/>
        <v>1</v>
      </c>
      <c r="BU18" s="119">
        <f t="shared" si="46"/>
        <v>1</v>
      </c>
      <c r="BV18" s="119">
        <f t="shared" si="46"/>
        <v>1</v>
      </c>
      <c r="BW18" s="119">
        <f t="shared" si="46"/>
        <v>1</v>
      </c>
      <c r="BX18" s="119">
        <f t="shared" si="46"/>
        <v>1</v>
      </c>
      <c r="BY18" s="119">
        <f t="shared" si="46"/>
        <v>1</v>
      </c>
      <c r="BZ18" s="119">
        <f t="shared" si="46"/>
        <v>1</v>
      </c>
      <c r="CA18" s="119">
        <f t="shared" si="46"/>
        <v>1</v>
      </c>
      <c r="CB18" s="119">
        <f t="shared" si="46"/>
        <v>1</v>
      </c>
      <c r="CC18" s="119">
        <f t="shared" si="46"/>
        <v>1</v>
      </c>
      <c r="CD18" s="119">
        <f t="shared" si="46"/>
        <v>1</v>
      </c>
      <c r="CE18" s="119">
        <f t="shared" si="46"/>
        <v>1</v>
      </c>
      <c r="CF18" s="119">
        <f t="shared" si="46"/>
        <v>1</v>
      </c>
      <c r="CG18" s="119">
        <f t="shared" si="46"/>
        <v>1</v>
      </c>
      <c r="CH18" s="119">
        <f t="shared" si="46"/>
        <v>1</v>
      </c>
      <c r="CI18" s="119">
        <f t="shared" si="46"/>
        <v>1</v>
      </c>
      <c r="CJ18" s="119">
        <f t="shared" si="46"/>
        <v>1</v>
      </c>
      <c r="CK18" s="119">
        <f t="shared" si="46"/>
        <v>1</v>
      </c>
      <c r="CL18" s="119">
        <f t="shared" ref="CL18:DB18" si="47">IF($A$51="Oui",1,0)</f>
        <v>1</v>
      </c>
      <c r="CM18" s="119">
        <f t="shared" si="47"/>
        <v>1</v>
      </c>
      <c r="CN18" s="119">
        <f t="shared" si="47"/>
        <v>1</v>
      </c>
      <c r="CO18" s="119">
        <f t="shared" si="47"/>
        <v>1</v>
      </c>
      <c r="CP18" s="119">
        <f t="shared" si="47"/>
        <v>1</v>
      </c>
      <c r="CQ18" s="119">
        <f t="shared" si="47"/>
        <v>1</v>
      </c>
      <c r="CR18" s="119">
        <f t="shared" si="47"/>
        <v>1</v>
      </c>
      <c r="CS18" s="119">
        <f t="shared" si="47"/>
        <v>1</v>
      </c>
      <c r="CT18" s="119">
        <f t="shared" si="47"/>
        <v>1</v>
      </c>
      <c r="CU18" s="119">
        <f t="shared" si="47"/>
        <v>1</v>
      </c>
      <c r="CV18" s="119">
        <f t="shared" si="47"/>
        <v>1</v>
      </c>
      <c r="CW18" s="119">
        <f t="shared" si="47"/>
        <v>1</v>
      </c>
      <c r="CX18" s="119">
        <f t="shared" si="47"/>
        <v>1</v>
      </c>
      <c r="CY18" s="119">
        <f t="shared" si="47"/>
        <v>1</v>
      </c>
      <c r="CZ18" s="119">
        <f t="shared" si="47"/>
        <v>1</v>
      </c>
      <c r="DA18" s="119">
        <f t="shared" si="47"/>
        <v>1</v>
      </c>
      <c r="DB18" s="119">
        <f t="shared" si="47"/>
        <v>1</v>
      </c>
      <c r="DC18" s="119"/>
      <c r="DD18" s="119"/>
      <c r="DE18" s="119"/>
      <c r="DF18" s="119"/>
      <c r="DG18" s="119"/>
      <c r="DH18" s="119"/>
      <c r="DI18" s="119"/>
    </row>
    <row r="19" spans="1:120" s="116" customFormat="1" ht="2.1" customHeight="1">
      <c r="A19" s="114" t="s">
        <v>13</v>
      </c>
      <c r="B19" s="114"/>
      <c r="C19" s="114"/>
      <c r="D19" s="114"/>
      <c r="E19" s="114"/>
      <c r="F19" s="114"/>
      <c r="G19" s="114"/>
      <c r="H19" s="114"/>
      <c r="I19" s="114"/>
      <c r="AX19" s="118"/>
      <c r="AY19" s="118"/>
      <c r="AZ19" s="118"/>
      <c r="BA19" s="118"/>
      <c r="BF19" s="117">
        <f t="shared" ref="BF19:CK19" si="48">ABS(SIN(BF2*180/$BF$33))</f>
        <v>0</v>
      </c>
      <c r="BG19" s="117">
        <f t="shared" si="48"/>
        <v>8.2161629676017561E-2</v>
      </c>
      <c r="BH19" s="117">
        <f t="shared" si="48"/>
        <v>0.16376768533451019</v>
      </c>
      <c r="BI19" s="117">
        <f t="shared" si="48"/>
        <v>0.24426634972969871</v>
      </c>
      <c r="BJ19" s="117">
        <f t="shared" si="48"/>
        <v>0.32311329375613834</v>
      </c>
      <c r="BK19" s="117">
        <f t="shared" si="48"/>
        <v>0.39977535718276913</v>
      </c>
      <c r="BL19" s="117">
        <f t="shared" si="48"/>
        <v>0.4737341538634347</v>
      </c>
      <c r="BM19" s="117">
        <f t="shared" si="48"/>
        <v>0.54448957704556422</v>
      </c>
      <c r="BN19" s="117">
        <f t="shared" si="48"/>
        <v>0.6115631810742459</v>
      </c>
      <c r="BO19" s="117">
        <f t="shared" si="48"/>
        <v>0.67450141662472762</v>
      </c>
      <c r="BP19" s="117">
        <f t="shared" si="48"/>
        <v>0.73287869758681901</v>
      </c>
      <c r="BQ19" s="117">
        <f t="shared" si="48"/>
        <v>0.78630027886303155</v>
      </c>
      <c r="BR19" s="117">
        <f t="shared" si="48"/>
        <v>0.83440492562088664</v>
      </c>
      <c r="BS19" s="117">
        <f t="shared" si="48"/>
        <v>0.87686735595000542</v>
      </c>
      <c r="BT19" s="117">
        <f t="shared" si="48"/>
        <v>0.91340044040681601</v>
      </c>
      <c r="BU19" s="117">
        <f t="shared" si="48"/>
        <v>0.94375714357363882</v>
      </c>
      <c r="BV19" s="117">
        <f t="shared" si="48"/>
        <v>0.96773219450339454</v>
      </c>
      <c r="BW19" s="117">
        <f t="shared" si="48"/>
        <v>0.9851634747544461</v>
      </c>
      <c r="BX19" s="117">
        <f t="shared" si="48"/>
        <v>0.99593311462973577</v>
      </c>
      <c r="BY19" s="117">
        <f t="shared" si="48"/>
        <v>0.99996829020748423</v>
      </c>
      <c r="BZ19" s="117">
        <f t="shared" si="48"/>
        <v>0.99724171577395859</v>
      </c>
      <c r="CA19" s="117">
        <f t="shared" si="48"/>
        <v>0.98777182832849886</v>
      </c>
      <c r="CB19" s="117">
        <f t="shared" si="48"/>
        <v>0.97162266291318433</v>
      </c>
      <c r="CC19" s="117">
        <f t="shared" si="48"/>
        <v>0.94890341961015578</v>
      </c>
      <c r="CD19" s="117">
        <f t="shared" si="48"/>
        <v>0.91976772513454486</v>
      </c>
      <c r="CE19" s="117">
        <f t="shared" si="48"/>
        <v>0.88441259401609063</v>
      </c>
      <c r="CF19" s="117">
        <f t="shared" si="48"/>
        <v>0.84307709639389616</v>
      </c>
      <c r="CG19" s="117">
        <f t="shared" si="48"/>
        <v>0.79604074143265202</v>
      </c>
      <c r="CH19" s="117">
        <f t="shared" si="48"/>
        <v>0.74362158729160555</v>
      </c>
      <c r="CI19" s="117">
        <f t="shared" si="48"/>
        <v>0.68617409042660238</v>
      </c>
      <c r="CJ19" s="117">
        <f t="shared" si="48"/>
        <v>0.62408670876813743</v>
      </c>
      <c r="CK19" s="117">
        <f t="shared" si="48"/>
        <v>0.55777927498264512</v>
      </c>
      <c r="CL19" s="117">
        <f t="shared" ref="CL19:DB19" si="49">ABS(SIN(CL2*180/$BF$33))</f>
        <v>0.48770015757894625</v>
      </c>
      <c r="CM19" s="117">
        <f t="shared" si="49"/>
        <v>0.41432322905633323</v>
      </c>
      <c r="CN19" s="117">
        <f t="shared" si="49"/>
        <v>0.33814466159558765</v>
      </c>
      <c r="CO19" s="117">
        <f t="shared" si="49"/>
        <v>0.25967957196034297</v>
      </c>
      <c r="CP19" s="117">
        <f t="shared" si="49"/>
        <v>0.1794585382958461</v>
      </c>
      <c r="CQ19" s="117">
        <f t="shared" si="49"/>
        <v>9.80240123784165E-2</v>
      </c>
      <c r="CR19" s="117">
        <f t="shared" si="49"/>
        <v>1.5926651575825776E-2</v>
      </c>
      <c r="CS19" s="117">
        <f t="shared" si="49"/>
        <v>6.6278404678237757E-2</v>
      </c>
      <c r="CT19" s="117">
        <f t="shared" si="49"/>
        <v>0.14803528871727306</v>
      </c>
      <c r="CU19" s="117">
        <f t="shared" si="49"/>
        <v>0.22879116339935635</v>
      </c>
      <c r="CV19" s="117">
        <f t="shared" si="49"/>
        <v>0.30799996037223232</v>
      </c>
      <c r="CW19" s="117">
        <f t="shared" si="49"/>
        <v>0.38512607256808601</v>
      </c>
      <c r="CX19" s="117">
        <f t="shared" si="49"/>
        <v>0.45964797595948959</v>
      </c>
      <c r="CY19" s="117">
        <f t="shared" si="49"/>
        <v>0.53106175608632322</v>
      </c>
      <c r="CZ19" s="117">
        <f t="shared" si="49"/>
        <v>0.59888451550743149</v>
      </c>
      <c r="DA19" s="117">
        <f t="shared" si="49"/>
        <v>0.66265763913594478</v>
      </c>
      <c r="DB19" s="117">
        <f t="shared" si="49"/>
        <v>0.72194989537818499</v>
      </c>
      <c r="DC19" s="117"/>
      <c r="DD19" s="117"/>
      <c r="DE19" s="117"/>
      <c r="DF19" s="117"/>
      <c r="DG19" s="117"/>
      <c r="DH19" s="117"/>
      <c r="DI19" s="117"/>
    </row>
    <row r="20" spans="1:120" s="116" customFormat="1" ht="2.1" customHeight="1">
      <c r="A20" s="114" t="s">
        <v>14</v>
      </c>
      <c r="B20" s="114"/>
      <c r="C20" s="114"/>
      <c r="D20" s="114"/>
      <c r="E20" s="114"/>
      <c r="F20" s="114"/>
      <c r="G20" s="114"/>
      <c r="H20" s="114"/>
      <c r="I20" s="114"/>
      <c r="AX20" s="118"/>
      <c r="AY20" s="118"/>
      <c r="AZ20" s="118"/>
      <c r="BA20" s="118"/>
      <c r="BF20" s="117">
        <f>BF17/BF16*BF18</f>
        <v>1</v>
      </c>
      <c r="BG20" s="117">
        <f t="shared" ref="BG20:DB20" si="50">BG17/BG16*BG18</f>
        <v>1</v>
      </c>
      <c r="BH20" s="117">
        <f t="shared" si="50"/>
        <v>1</v>
      </c>
      <c r="BI20" s="117">
        <f t="shared" si="50"/>
        <v>1</v>
      </c>
      <c r="BJ20" s="117">
        <f t="shared" si="50"/>
        <v>1</v>
      </c>
      <c r="BK20" s="117">
        <f t="shared" si="50"/>
        <v>1</v>
      </c>
      <c r="BL20" s="117">
        <f t="shared" si="50"/>
        <v>1</v>
      </c>
      <c r="BM20" s="117">
        <f t="shared" si="50"/>
        <v>1</v>
      </c>
      <c r="BN20" s="117">
        <f t="shared" si="50"/>
        <v>1</v>
      </c>
      <c r="BO20" s="117">
        <f t="shared" si="50"/>
        <v>1</v>
      </c>
      <c r="BP20" s="117">
        <f t="shared" si="50"/>
        <v>1</v>
      </c>
      <c r="BQ20" s="117">
        <f t="shared" si="50"/>
        <v>1</v>
      </c>
      <c r="BR20" s="117">
        <f t="shared" si="50"/>
        <v>1</v>
      </c>
      <c r="BS20" s="117">
        <f t="shared" si="50"/>
        <v>1</v>
      </c>
      <c r="BT20" s="117">
        <f t="shared" si="50"/>
        <v>1</v>
      </c>
      <c r="BU20" s="117">
        <f t="shared" si="50"/>
        <v>1</v>
      </c>
      <c r="BV20" s="117">
        <f t="shared" si="50"/>
        <v>1</v>
      </c>
      <c r="BW20" s="117">
        <f t="shared" si="50"/>
        <v>1</v>
      </c>
      <c r="BX20" s="117">
        <f t="shared" si="50"/>
        <v>1</v>
      </c>
      <c r="BY20" s="117">
        <f t="shared" si="50"/>
        <v>1</v>
      </c>
      <c r="BZ20" s="117">
        <f t="shared" si="50"/>
        <v>1</v>
      </c>
      <c r="CA20" s="117">
        <f t="shared" si="50"/>
        <v>1</v>
      </c>
      <c r="CB20" s="117">
        <f t="shared" si="50"/>
        <v>1</v>
      </c>
      <c r="CC20" s="117">
        <f t="shared" si="50"/>
        <v>1</v>
      </c>
      <c r="CD20" s="117">
        <f t="shared" si="50"/>
        <v>1</v>
      </c>
      <c r="CE20" s="117">
        <f t="shared" si="50"/>
        <v>1</v>
      </c>
      <c r="CF20" s="117">
        <f t="shared" si="50"/>
        <v>1</v>
      </c>
      <c r="CG20" s="117">
        <f t="shared" si="50"/>
        <v>1</v>
      </c>
      <c r="CH20" s="117">
        <f t="shared" si="50"/>
        <v>1</v>
      </c>
      <c r="CI20" s="117">
        <f t="shared" si="50"/>
        <v>1</v>
      </c>
      <c r="CJ20" s="117">
        <f t="shared" si="50"/>
        <v>1</v>
      </c>
      <c r="CK20" s="117">
        <f t="shared" si="50"/>
        <v>1</v>
      </c>
      <c r="CL20" s="117">
        <f t="shared" si="50"/>
        <v>1</v>
      </c>
      <c r="CM20" s="117">
        <f t="shared" si="50"/>
        <v>1</v>
      </c>
      <c r="CN20" s="117">
        <f t="shared" si="50"/>
        <v>1</v>
      </c>
      <c r="CO20" s="117">
        <f t="shared" si="50"/>
        <v>1</v>
      </c>
      <c r="CP20" s="117">
        <f t="shared" si="50"/>
        <v>1</v>
      </c>
      <c r="CQ20" s="117">
        <f t="shared" si="50"/>
        <v>1</v>
      </c>
      <c r="CR20" s="117">
        <f t="shared" si="50"/>
        <v>1</v>
      </c>
      <c r="CS20" s="117">
        <f t="shared" si="50"/>
        <v>1</v>
      </c>
      <c r="CT20" s="117">
        <f t="shared" si="50"/>
        <v>1</v>
      </c>
      <c r="CU20" s="117">
        <f t="shared" si="50"/>
        <v>1</v>
      </c>
      <c r="CV20" s="117">
        <f t="shared" si="50"/>
        <v>1</v>
      </c>
      <c r="CW20" s="117">
        <f t="shared" si="50"/>
        <v>1</v>
      </c>
      <c r="CX20" s="117">
        <f t="shared" si="50"/>
        <v>1</v>
      </c>
      <c r="CY20" s="117">
        <f t="shared" si="50"/>
        <v>1</v>
      </c>
      <c r="CZ20" s="117">
        <f t="shared" si="50"/>
        <v>1</v>
      </c>
      <c r="DA20" s="117">
        <f t="shared" si="50"/>
        <v>1</v>
      </c>
      <c r="DB20" s="117">
        <f t="shared" si="50"/>
        <v>1</v>
      </c>
      <c r="DC20" s="117"/>
      <c r="DD20" s="117"/>
      <c r="DE20" s="117"/>
      <c r="DF20" s="117"/>
      <c r="DG20" s="117"/>
      <c r="DH20" s="117"/>
      <c r="DI20" s="117"/>
    </row>
    <row r="21" spans="1:120" s="116" customFormat="1" ht="2.1" customHeight="1">
      <c r="A21" s="114" t="s">
        <v>18</v>
      </c>
      <c r="B21" s="114"/>
      <c r="C21" s="114"/>
      <c r="D21" s="114"/>
      <c r="E21" s="114"/>
      <c r="F21" s="114"/>
      <c r="G21" s="114"/>
      <c r="H21" s="114"/>
      <c r="I21" s="114"/>
      <c r="AX21" s="118"/>
      <c r="AY21" s="118"/>
      <c r="AZ21" s="118"/>
      <c r="BA21" s="118"/>
      <c r="BF21" s="113">
        <f>10*LOG('Couverture en "espace libre"'!$A$15)+BF14/2</f>
        <v>-30</v>
      </c>
      <c r="BG21" s="113">
        <f>10*LOG('Couverture en "espace libre"'!$A$15)+BG14/2</f>
        <v>-30</v>
      </c>
      <c r="BH21" s="113">
        <f>10*LOG('Couverture en "espace libre"'!$A$15)+BH14/2</f>
        <v>-30</v>
      </c>
      <c r="BI21" s="113">
        <f>10*LOG('Couverture en "espace libre"'!$A$15)+BI14/2</f>
        <v>-30</v>
      </c>
      <c r="BJ21" s="113">
        <f>10*LOG('Couverture en "espace libre"'!$A$15)+BJ14/2</f>
        <v>-30</v>
      </c>
      <c r="BK21" s="113">
        <f>10*LOG('Couverture en "espace libre"'!$A$15)+BK14/2</f>
        <v>-30</v>
      </c>
      <c r="BL21" s="113">
        <f>10*LOG('Couverture en "espace libre"'!$A$15)+BL14/2</f>
        <v>-30</v>
      </c>
      <c r="BM21" s="113">
        <f>10*LOG('Couverture en "espace libre"'!$A$15)+BM14/2</f>
        <v>-30</v>
      </c>
      <c r="BN21" s="113">
        <f>10*LOG('Couverture en "espace libre"'!$A$15)+BN14/2</f>
        <v>-30</v>
      </c>
      <c r="BO21" s="113">
        <f>10*LOG('Couverture en "espace libre"'!$A$15)+BO14/2</f>
        <v>-30</v>
      </c>
      <c r="BP21" s="113">
        <f>10*LOG('Couverture en "espace libre"'!$A$15)+BP14/2</f>
        <v>-30</v>
      </c>
      <c r="BQ21" s="113">
        <f>10*LOG('Couverture en "espace libre"'!$A$15)+BQ14/2</f>
        <v>-30</v>
      </c>
      <c r="BR21" s="113">
        <f>10*LOG('Couverture en "espace libre"'!$A$15)+BR14/2</f>
        <v>-30</v>
      </c>
      <c r="BS21" s="113">
        <f>10*LOG('Couverture en "espace libre"'!$A$15)+BS14/2</f>
        <v>-30</v>
      </c>
      <c r="BT21" s="113">
        <f>10*LOG('Couverture en "espace libre"'!$A$15)+BT14/2</f>
        <v>-30</v>
      </c>
      <c r="BU21" s="113">
        <f>10*LOG('Couverture en "espace libre"'!$A$15)+BU14/2</f>
        <v>-30</v>
      </c>
      <c r="BV21" s="113">
        <f>10*LOG('Couverture en "espace libre"'!$A$15)+BV14/2</f>
        <v>-30</v>
      </c>
      <c r="BW21" s="113">
        <f>10*LOG('Couverture en "espace libre"'!$A$15)+BW14/2</f>
        <v>-30</v>
      </c>
      <c r="BX21" s="113">
        <f>10*LOG('Couverture en "espace libre"'!$A$15)+BX14/2</f>
        <v>-30</v>
      </c>
      <c r="BY21" s="113">
        <f>10*LOG('Couverture en "espace libre"'!$A$15)+BY14/2</f>
        <v>-30</v>
      </c>
      <c r="BZ21" s="113">
        <f>10*LOG('Couverture en "espace libre"'!$A$15)+BZ14/2</f>
        <v>-30</v>
      </c>
      <c r="CA21" s="113">
        <f>10*LOG('Couverture en "espace libre"'!$A$15)+CA14/2</f>
        <v>-30</v>
      </c>
      <c r="CB21" s="113">
        <f>10*LOG('Couverture en "espace libre"'!$A$15)+CB14/2</f>
        <v>-30</v>
      </c>
      <c r="CC21" s="113">
        <f>10*LOG('Couverture en "espace libre"'!$A$15)+CC14/2</f>
        <v>-30</v>
      </c>
      <c r="CD21" s="113">
        <f>10*LOG('Couverture en "espace libre"'!$A$15)+CD14/2</f>
        <v>-30</v>
      </c>
      <c r="CE21" s="113">
        <f>10*LOG('Couverture en "espace libre"'!$A$15)+CE14/2</f>
        <v>-30</v>
      </c>
      <c r="CF21" s="113">
        <f>10*LOG('Couverture en "espace libre"'!$A$15)+CF14/2</f>
        <v>-30</v>
      </c>
      <c r="CG21" s="113">
        <f>10*LOG('Couverture en "espace libre"'!$A$15)+CG14/2</f>
        <v>-30</v>
      </c>
      <c r="CH21" s="113">
        <f>10*LOG('Couverture en "espace libre"'!$A$15)+CH14/2</f>
        <v>-30</v>
      </c>
      <c r="CI21" s="113">
        <f>10*LOG('Couverture en "espace libre"'!$A$15)+CI14/2</f>
        <v>-30</v>
      </c>
      <c r="CJ21" s="113">
        <f>10*LOG('Couverture en "espace libre"'!$A$15)+CJ14/2</f>
        <v>-30</v>
      </c>
      <c r="CK21" s="113">
        <f>10*LOG('Couverture en "espace libre"'!$A$15)+CK14/2</f>
        <v>-30</v>
      </c>
      <c r="CL21" s="113">
        <f>10*LOG('Couverture en "espace libre"'!$A$15)+CL14/2</f>
        <v>-30</v>
      </c>
      <c r="CM21" s="113">
        <f>10*LOG('Couverture en "espace libre"'!$A$15)+CM14/2</f>
        <v>-30</v>
      </c>
      <c r="CN21" s="113">
        <f>10*LOG('Couverture en "espace libre"'!$A$15)+CN14/2</f>
        <v>-30</v>
      </c>
      <c r="CO21" s="113">
        <f>10*LOG('Couverture en "espace libre"'!$A$15)+CO14/2</f>
        <v>-30</v>
      </c>
      <c r="CP21" s="113">
        <f>10*LOG('Couverture en "espace libre"'!$A$15)+CP14/2</f>
        <v>-30</v>
      </c>
      <c r="CQ21" s="113">
        <f>10*LOG('Couverture en "espace libre"'!$A$15)+CQ14/2</f>
        <v>-30</v>
      </c>
      <c r="CR21" s="113">
        <f>10*LOG('Couverture en "espace libre"'!$A$15)+CR14/2</f>
        <v>-30</v>
      </c>
      <c r="CS21" s="113">
        <f>10*LOG('Couverture en "espace libre"'!$A$15)+CS14/2</f>
        <v>-30</v>
      </c>
      <c r="CT21" s="113">
        <f>10*LOG('Couverture en "espace libre"'!$A$15)+CT14/2</f>
        <v>-30</v>
      </c>
      <c r="CU21" s="113">
        <f>10*LOG('Couverture en "espace libre"'!$A$15)+CU14/2</f>
        <v>-30</v>
      </c>
      <c r="CV21" s="113">
        <f>10*LOG('Couverture en "espace libre"'!$A$15)+CV14/2</f>
        <v>-30</v>
      </c>
      <c r="CW21" s="113">
        <f>10*LOG('Couverture en "espace libre"'!$A$15)+CW14/2</f>
        <v>-30</v>
      </c>
      <c r="CX21" s="113">
        <f>10*LOG('Couverture en "espace libre"'!$A$15)+CX14/2</f>
        <v>-30</v>
      </c>
      <c r="CY21" s="113">
        <f>10*LOG('Couverture en "espace libre"'!$A$15)+CY14/2</f>
        <v>-30</v>
      </c>
      <c r="CZ21" s="113">
        <f>10*LOG('Couverture en "espace libre"'!$A$15)+CZ14/2</f>
        <v>-30</v>
      </c>
      <c r="DA21" s="113">
        <f>10*LOG('Couverture en "espace libre"'!$A$15)+DA14/2</f>
        <v>-30</v>
      </c>
      <c r="DB21" s="113">
        <f>10*LOG('Couverture en "espace libre"'!$A$15)+DB14/2</f>
        <v>-30</v>
      </c>
      <c r="DC21" s="113">
        <f>10*LOG('Couverture en "espace libre"'!$A$15)+DC14/2</f>
        <v>-30</v>
      </c>
      <c r="DD21" s="113">
        <f>10*LOG('Couverture en "espace libre"'!$A$15)+DD14/2</f>
        <v>-30</v>
      </c>
      <c r="DE21" s="113">
        <f>10*LOG('Couverture en "espace libre"'!$A$15)+DE14/2</f>
        <v>-30</v>
      </c>
      <c r="DF21" s="113">
        <f>10*LOG('Couverture en "espace libre"'!$A$15)+DF14/2</f>
        <v>-30</v>
      </c>
      <c r="DG21" s="113">
        <f>10*LOG('Couverture en "espace libre"'!$A$15)+DG14/2</f>
        <v>-30</v>
      </c>
      <c r="DH21" s="113">
        <f>10*LOG('Couverture en "espace libre"'!$A$15)+DH14/2</f>
        <v>-30</v>
      </c>
      <c r="DI21" s="113">
        <f>10*LOG('Couverture en "espace libre"'!$A$15)+DI14/2</f>
        <v>-30</v>
      </c>
    </row>
    <row r="22" spans="1:120" s="116" customFormat="1" ht="2.1" customHeight="1">
      <c r="A22" s="120">
        <f>'Equation du radar'!H22</f>
        <v>1E-3</v>
      </c>
      <c r="B22" s="120"/>
      <c r="C22" s="120"/>
      <c r="D22" s="120"/>
      <c r="E22" s="120"/>
      <c r="F22" s="120"/>
      <c r="G22" s="120"/>
      <c r="H22" s="120"/>
      <c r="I22" s="120"/>
      <c r="AX22" s="118"/>
      <c r="AY22" s="118"/>
      <c r="AZ22" s="118"/>
      <c r="BA22" s="118"/>
      <c r="BF22" s="121">
        <f>IF($A$22&gt;1,1,0)</f>
        <v>0</v>
      </c>
      <c r="BG22" s="121">
        <f t="shared" ref="BG22:DI22" si="51">IF($A$22&gt;1,1,0)</f>
        <v>0</v>
      </c>
      <c r="BH22" s="121">
        <f t="shared" si="51"/>
        <v>0</v>
      </c>
      <c r="BI22" s="121">
        <f t="shared" si="51"/>
        <v>0</v>
      </c>
      <c r="BJ22" s="121">
        <f t="shared" si="51"/>
        <v>0</v>
      </c>
      <c r="BK22" s="121">
        <f t="shared" si="51"/>
        <v>0</v>
      </c>
      <c r="BL22" s="121">
        <f t="shared" si="51"/>
        <v>0</v>
      </c>
      <c r="BM22" s="121">
        <f t="shared" si="51"/>
        <v>0</v>
      </c>
      <c r="BN22" s="121">
        <f t="shared" si="51"/>
        <v>0</v>
      </c>
      <c r="BO22" s="121">
        <f t="shared" si="51"/>
        <v>0</v>
      </c>
      <c r="BP22" s="121">
        <f t="shared" si="51"/>
        <v>0</v>
      </c>
      <c r="BQ22" s="121">
        <f t="shared" si="51"/>
        <v>0</v>
      </c>
      <c r="BR22" s="121">
        <f t="shared" si="51"/>
        <v>0</v>
      </c>
      <c r="BS22" s="121">
        <f t="shared" si="51"/>
        <v>0</v>
      </c>
      <c r="BT22" s="121">
        <f t="shared" si="51"/>
        <v>0</v>
      </c>
      <c r="BU22" s="121">
        <f t="shared" si="51"/>
        <v>0</v>
      </c>
      <c r="BV22" s="121">
        <f t="shared" si="51"/>
        <v>0</v>
      </c>
      <c r="BW22" s="121">
        <f t="shared" si="51"/>
        <v>0</v>
      </c>
      <c r="BX22" s="121">
        <f t="shared" si="51"/>
        <v>0</v>
      </c>
      <c r="BY22" s="121">
        <f t="shared" si="51"/>
        <v>0</v>
      </c>
      <c r="BZ22" s="121">
        <f t="shared" si="51"/>
        <v>0</v>
      </c>
      <c r="CA22" s="121">
        <f t="shared" si="51"/>
        <v>0</v>
      </c>
      <c r="CB22" s="121">
        <f t="shared" si="51"/>
        <v>0</v>
      </c>
      <c r="CC22" s="121">
        <f t="shared" si="51"/>
        <v>0</v>
      </c>
      <c r="CD22" s="121">
        <f t="shared" si="51"/>
        <v>0</v>
      </c>
      <c r="CE22" s="121">
        <f t="shared" si="51"/>
        <v>0</v>
      </c>
      <c r="CF22" s="121">
        <f t="shared" si="51"/>
        <v>0</v>
      </c>
      <c r="CG22" s="121">
        <f t="shared" si="51"/>
        <v>0</v>
      </c>
      <c r="CH22" s="121">
        <f t="shared" si="51"/>
        <v>0</v>
      </c>
      <c r="CI22" s="121">
        <f t="shared" si="51"/>
        <v>0</v>
      </c>
      <c r="CJ22" s="121">
        <f t="shared" si="51"/>
        <v>0</v>
      </c>
      <c r="CK22" s="121">
        <f t="shared" si="51"/>
        <v>0</v>
      </c>
      <c r="CL22" s="121">
        <f t="shared" si="51"/>
        <v>0</v>
      </c>
      <c r="CM22" s="121">
        <f t="shared" si="51"/>
        <v>0</v>
      </c>
      <c r="CN22" s="121">
        <f t="shared" si="51"/>
        <v>0</v>
      </c>
      <c r="CO22" s="121">
        <f t="shared" si="51"/>
        <v>0</v>
      </c>
      <c r="CP22" s="121">
        <f t="shared" si="51"/>
        <v>0</v>
      </c>
      <c r="CQ22" s="121">
        <f t="shared" si="51"/>
        <v>0</v>
      </c>
      <c r="CR22" s="121">
        <f t="shared" si="51"/>
        <v>0</v>
      </c>
      <c r="CS22" s="121">
        <f t="shared" si="51"/>
        <v>0</v>
      </c>
      <c r="CT22" s="121">
        <f t="shared" si="51"/>
        <v>0</v>
      </c>
      <c r="CU22" s="121">
        <f t="shared" si="51"/>
        <v>0</v>
      </c>
      <c r="CV22" s="121">
        <f t="shared" si="51"/>
        <v>0</v>
      </c>
      <c r="CW22" s="121">
        <f t="shared" si="51"/>
        <v>0</v>
      </c>
      <c r="CX22" s="121">
        <f t="shared" si="51"/>
        <v>0</v>
      </c>
      <c r="CY22" s="121">
        <f t="shared" si="51"/>
        <v>0</v>
      </c>
      <c r="CZ22" s="121">
        <f t="shared" si="51"/>
        <v>0</v>
      </c>
      <c r="DA22" s="121">
        <f t="shared" si="51"/>
        <v>0</v>
      </c>
      <c r="DB22" s="121">
        <f t="shared" si="51"/>
        <v>0</v>
      </c>
      <c r="DC22" s="121">
        <f t="shared" si="51"/>
        <v>0</v>
      </c>
      <c r="DD22" s="121">
        <f t="shared" si="51"/>
        <v>0</v>
      </c>
      <c r="DE22" s="121">
        <f t="shared" si="51"/>
        <v>0</v>
      </c>
      <c r="DF22" s="121">
        <f t="shared" si="51"/>
        <v>0</v>
      </c>
      <c r="DG22" s="121">
        <f t="shared" si="51"/>
        <v>0</v>
      </c>
      <c r="DH22" s="121">
        <f t="shared" si="51"/>
        <v>0</v>
      </c>
      <c r="DI22" s="121">
        <f t="shared" si="51"/>
        <v>0</v>
      </c>
    </row>
    <row r="23" spans="1:120" s="116" customFormat="1" ht="2.1" customHeight="1">
      <c r="A23" s="114" t="s">
        <v>17</v>
      </c>
      <c r="B23" s="114"/>
      <c r="C23" s="114"/>
      <c r="D23" s="114"/>
      <c r="E23" s="114"/>
      <c r="F23" s="114"/>
      <c r="G23" s="114"/>
      <c r="H23" s="114"/>
      <c r="I23" s="114"/>
      <c r="AX23" s="118"/>
      <c r="AY23" s="118"/>
      <c r="AZ23" s="118"/>
      <c r="BA23" s="118"/>
      <c r="BF23" s="122">
        <f>POWER(10,BF21/10)*BF22</f>
        <v>0</v>
      </c>
      <c r="BG23" s="122">
        <f t="shared" ref="BG23:DI23" si="52">POWER(10,BG21/10)*BG22</f>
        <v>0</v>
      </c>
      <c r="BH23" s="122">
        <f t="shared" si="52"/>
        <v>0</v>
      </c>
      <c r="BI23" s="122">
        <f t="shared" si="52"/>
        <v>0</v>
      </c>
      <c r="BJ23" s="122">
        <f t="shared" si="52"/>
        <v>0</v>
      </c>
      <c r="BK23" s="122">
        <f t="shared" si="52"/>
        <v>0</v>
      </c>
      <c r="BL23" s="122">
        <f t="shared" si="52"/>
        <v>0</v>
      </c>
      <c r="BM23" s="122">
        <f t="shared" si="52"/>
        <v>0</v>
      </c>
      <c r="BN23" s="122">
        <f t="shared" si="52"/>
        <v>0</v>
      </c>
      <c r="BO23" s="122">
        <f t="shared" si="52"/>
        <v>0</v>
      </c>
      <c r="BP23" s="122">
        <f t="shared" si="52"/>
        <v>0</v>
      </c>
      <c r="BQ23" s="122">
        <f t="shared" si="52"/>
        <v>0</v>
      </c>
      <c r="BR23" s="122">
        <f t="shared" si="52"/>
        <v>0</v>
      </c>
      <c r="BS23" s="122">
        <f t="shared" si="52"/>
        <v>0</v>
      </c>
      <c r="BT23" s="122">
        <f t="shared" si="52"/>
        <v>0</v>
      </c>
      <c r="BU23" s="122">
        <f t="shared" si="52"/>
        <v>0</v>
      </c>
      <c r="BV23" s="122">
        <f t="shared" si="52"/>
        <v>0</v>
      </c>
      <c r="BW23" s="122">
        <f t="shared" si="52"/>
        <v>0</v>
      </c>
      <c r="BX23" s="122">
        <f t="shared" si="52"/>
        <v>0</v>
      </c>
      <c r="BY23" s="122">
        <f t="shared" si="52"/>
        <v>0</v>
      </c>
      <c r="BZ23" s="122">
        <f t="shared" si="52"/>
        <v>0</v>
      </c>
      <c r="CA23" s="122">
        <f t="shared" si="52"/>
        <v>0</v>
      </c>
      <c r="CB23" s="122">
        <f t="shared" si="52"/>
        <v>0</v>
      </c>
      <c r="CC23" s="122">
        <f t="shared" si="52"/>
        <v>0</v>
      </c>
      <c r="CD23" s="122">
        <f t="shared" si="52"/>
        <v>0</v>
      </c>
      <c r="CE23" s="122">
        <f t="shared" si="52"/>
        <v>0</v>
      </c>
      <c r="CF23" s="122">
        <f t="shared" si="52"/>
        <v>0</v>
      </c>
      <c r="CG23" s="122">
        <f t="shared" si="52"/>
        <v>0</v>
      </c>
      <c r="CH23" s="122">
        <f t="shared" si="52"/>
        <v>0</v>
      </c>
      <c r="CI23" s="122">
        <f t="shared" si="52"/>
        <v>0</v>
      </c>
      <c r="CJ23" s="122">
        <f t="shared" si="52"/>
        <v>0</v>
      </c>
      <c r="CK23" s="122">
        <f t="shared" si="52"/>
        <v>0</v>
      </c>
      <c r="CL23" s="122">
        <f t="shared" si="52"/>
        <v>0</v>
      </c>
      <c r="CM23" s="122">
        <f t="shared" si="52"/>
        <v>0</v>
      </c>
      <c r="CN23" s="122">
        <f t="shared" si="52"/>
        <v>0</v>
      </c>
      <c r="CO23" s="122">
        <f t="shared" si="52"/>
        <v>0</v>
      </c>
      <c r="CP23" s="122">
        <f t="shared" si="52"/>
        <v>0</v>
      </c>
      <c r="CQ23" s="122">
        <f t="shared" si="52"/>
        <v>0</v>
      </c>
      <c r="CR23" s="122">
        <f t="shared" si="52"/>
        <v>0</v>
      </c>
      <c r="CS23" s="122">
        <f t="shared" si="52"/>
        <v>0</v>
      </c>
      <c r="CT23" s="122">
        <f t="shared" si="52"/>
        <v>0</v>
      </c>
      <c r="CU23" s="122">
        <f t="shared" si="52"/>
        <v>0</v>
      </c>
      <c r="CV23" s="122">
        <f t="shared" si="52"/>
        <v>0</v>
      </c>
      <c r="CW23" s="122">
        <f t="shared" si="52"/>
        <v>0</v>
      </c>
      <c r="CX23" s="122">
        <f t="shared" si="52"/>
        <v>0</v>
      </c>
      <c r="CY23" s="122">
        <f t="shared" si="52"/>
        <v>0</v>
      </c>
      <c r="CZ23" s="122">
        <f t="shared" si="52"/>
        <v>0</v>
      </c>
      <c r="DA23" s="122">
        <f t="shared" si="52"/>
        <v>0</v>
      </c>
      <c r="DB23" s="122">
        <f t="shared" si="52"/>
        <v>0</v>
      </c>
      <c r="DC23" s="122">
        <f t="shared" si="52"/>
        <v>0</v>
      </c>
      <c r="DD23" s="122">
        <f t="shared" si="52"/>
        <v>0</v>
      </c>
      <c r="DE23" s="122">
        <f t="shared" si="52"/>
        <v>0</v>
      </c>
      <c r="DF23" s="122">
        <f t="shared" si="52"/>
        <v>0</v>
      </c>
      <c r="DG23" s="122">
        <f t="shared" si="52"/>
        <v>0</v>
      </c>
      <c r="DH23" s="122">
        <f t="shared" si="52"/>
        <v>0</v>
      </c>
      <c r="DI23" s="122">
        <f t="shared" si="52"/>
        <v>0</v>
      </c>
      <c r="DJ23" s="114"/>
      <c r="DK23" s="114"/>
      <c r="DL23" s="114"/>
      <c r="DM23" s="114"/>
      <c r="DN23" s="114"/>
      <c r="DO23" s="114"/>
      <c r="DP23" s="114"/>
    </row>
    <row r="24" spans="1:120" s="116" customFormat="1" ht="2.1" customHeight="1">
      <c r="A24" s="114" t="s">
        <v>19</v>
      </c>
      <c r="B24" s="114"/>
      <c r="C24" s="114"/>
      <c r="D24" s="114"/>
      <c r="E24" s="114"/>
      <c r="F24" s="114"/>
      <c r="G24" s="114"/>
      <c r="H24" s="114"/>
      <c r="I24" s="114"/>
      <c r="AX24" s="118"/>
      <c r="AY24" s="118"/>
      <c r="AZ24" s="118"/>
      <c r="BA24" s="118"/>
      <c r="BE24" s="116" t="s">
        <v>22</v>
      </c>
      <c r="BF24" s="122">
        <f>BF23*(1-BF20+2*BF20*BF19)</f>
        <v>0</v>
      </c>
      <c r="BG24" s="122">
        <f t="shared" ref="BG24:DB24" si="53">BG23*(1-BG20+2*BG20*BG19)</f>
        <v>0</v>
      </c>
      <c r="BH24" s="122">
        <f t="shared" si="53"/>
        <v>0</v>
      </c>
      <c r="BI24" s="122">
        <f t="shared" si="53"/>
        <v>0</v>
      </c>
      <c r="BJ24" s="122">
        <f t="shared" si="53"/>
        <v>0</v>
      </c>
      <c r="BK24" s="122">
        <f t="shared" si="53"/>
        <v>0</v>
      </c>
      <c r="BL24" s="122">
        <f t="shared" si="53"/>
        <v>0</v>
      </c>
      <c r="BM24" s="122">
        <f t="shared" si="53"/>
        <v>0</v>
      </c>
      <c r="BN24" s="122">
        <f t="shared" si="53"/>
        <v>0</v>
      </c>
      <c r="BO24" s="122">
        <f t="shared" si="53"/>
        <v>0</v>
      </c>
      <c r="BP24" s="122">
        <f t="shared" si="53"/>
        <v>0</v>
      </c>
      <c r="BQ24" s="122">
        <f t="shared" si="53"/>
        <v>0</v>
      </c>
      <c r="BR24" s="122">
        <f t="shared" si="53"/>
        <v>0</v>
      </c>
      <c r="BS24" s="122">
        <f t="shared" si="53"/>
        <v>0</v>
      </c>
      <c r="BT24" s="122">
        <f t="shared" si="53"/>
        <v>0</v>
      </c>
      <c r="BU24" s="122">
        <f t="shared" si="53"/>
        <v>0</v>
      </c>
      <c r="BV24" s="122">
        <f t="shared" si="53"/>
        <v>0</v>
      </c>
      <c r="BW24" s="122">
        <f t="shared" si="53"/>
        <v>0</v>
      </c>
      <c r="BX24" s="122">
        <f t="shared" si="53"/>
        <v>0</v>
      </c>
      <c r="BY24" s="122">
        <f t="shared" si="53"/>
        <v>0</v>
      </c>
      <c r="BZ24" s="122">
        <f t="shared" si="53"/>
        <v>0</v>
      </c>
      <c r="CA24" s="122">
        <f t="shared" si="53"/>
        <v>0</v>
      </c>
      <c r="CB24" s="122">
        <f t="shared" si="53"/>
        <v>0</v>
      </c>
      <c r="CC24" s="122">
        <f t="shared" si="53"/>
        <v>0</v>
      </c>
      <c r="CD24" s="122">
        <f t="shared" si="53"/>
        <v>0</v>
      </c>
      <c r="CE24" s="122">
        <f t="shared" si="53"/>
        <v>0</v>
      </c>
      <c r="CF24" s="122">
        <f t="shared" si="53"/>
        <v>0</v>
      </c>
      <c r="CG24" s="122">
        <f t="shared" si="53"/>
        <v>0</v>
      </c>
      <c r="CH24" s="122">
        <f t="shared" si="53"/>
        <v>0</v>
      </c>
      <c r="CI24" s="122">
        <f t="shared" si="53"/>
        <v>0</v>
      </c>
      <c r="CJ24" s="122">
        <f t="shared" si="53"/>
        <v>0</v>
      </c>
      <c r="CK24" s="122">
        <f t="shared" si="53"/>
        <v>0</v>
      </c>
      <c r="CL24" s="122">
        <f t="shared" si="53"/>
        <v>0</v>
      </c>
      <c r="CM24" s="122">
        <f t="shared" si="53"/>
        <v>0</v>
      </c>
      <c r="CN24" s="122">
        <f t="shared" si="53"/>
        <v>0</v>
      </c>
      <c r="CO24" s="122">
        <f t="shared" si="53"/>
        <v>0</v>
      </c>
      <c r="CP24" s="122">
        <f t="shared" si="53"/>
        <v>0</v>
      </c>
      <c r="CQ24" s="122">
        <f t="shared" si="53"/>
        <v>0</v>
      </c>
      <c r="CR24" s="122">
        <f t="shared" si="53"/>
        <v>0</v>
      </c>
      <c r="CS24" s="122">
        <f t="shared" si="53"/>
        <v>0</v>
      </c>
      <c r="CT24" s="122">
        <f t="shared" si="53"/>
        <v>0</v>
      </c>
      <c r="CU24" s="122">
        <f t="shared" si="53"/>
        <v>0</v>
      </c>
      <c r="CV24" s="122">
        <f t="shared" si="53"/>
        <v>0</v>
      </c>
      <c r="CW24" s="122">
        <f t="shared" si="53"/>
        <v>0</v>
      </c>
      <c r="CX24" s="122">
        <f t="shared" si="53"/>
        <v>0</v>
      </c>
      <c r="CY24" s="122">
        <f t="shared" si="53"/>
        <v>0</v>
      </c>
      <c r="CZ24" s="122">
        <f t="shared" si="53"/>
        <v>0</v>
      </c>
      <c r="DA24" s="122">
        <f t="shared" si="53"/>
        <v>0</v>
      </c>
      <c r="DB24" s="122">
        <f t="shared" si="53"/>
        <v>0</v>
      </c>
      <c r="DC24" s="122">
        <f t="shared" ref="DC24:DI24" si="54">DC23</f>
        <v>0</v>
      </c>
      <c r="DD24" s="122">
        <f t="shared" si="54"/>
        <v>0</v>
      </c>
      <c r="DE24" s="122">
        <f t="shared" si="54"/>
        <v>0</v>
      </c>
      <c r="DF24" s="122">
        <f t="shared" si="54"/>
        <v>0</v>
      </c>
      <c r="DG24" s="122">
        <f t="shared" si="54"/>
        <v>0</v>
      </c>
      <c r="DH24" s="122">
        <f t="shared" si="54"/>
        <v>0</v>
      </c>
      <c r="DI24" s="122">
        <f t="shared" si="54"/>
        <v>0</v>
      </c>
      <c r="DJ24" s="114"/>
      <c r="DK24" s="114"/>
      <c r="DL24" s="114"/>
      <c r="DM24" s="114"/>
      <c r="DN24" s="114"/>
      <c r="DO24" s="114"/>
      <c r="DP24" s="114"/>
    </row>
    <row r="25" spans="1:120" s="114" customFormat="1" ht="2.1" customHeight="1">
      <c r="A25" s="114" t="s">
        <v>20</v>
      </c>
      <c r="AX25" s="123"/>
      <c r="AY25" s="123"/>
      <c r="AZ25" s="123"/>
      <c r="BA25" s="123"/>
      <c r="BE25" s="114" t="s">
        <v>21</v>
      </c>
      <c r="BF25" s="122">
        <f t="shared" ref="BF25:CK25" si="55">(BF24*BF24/17+BF24*BF3*1000)</f>
        <v>0</v>
      </c>
      <c r="BG25" s="122">
        <f t="shared" si="55"/>
        <v>0</v>
      </c>
      <c r="BH25" s="122">
        <f t="shared" si="55"/>
        <v>0</v>
      </c>
      <c r="BI25" s="122">
        <f t="shared" si="55"/>
        <v>0</v>
      </c>
      <c r="BJ25" s="122">
        <f t="shared" si="55"/>
        <v>0</v>
      </c>
      <c r="BK25" s="122">
        <f t="shared" si="55"/>
        <v>0</v>
      </c>
      <c r="BL25" s="122">
        <f t="shared" si="55"/>
        <v>0</v>
      </c>
      <c r="BM25" s="122">
        <f t="shared" si="55"/>
        <v>0</v>
      </c>
      <c r="BN25" s="122">
        <f t="shared" si="55"/>
        <v>0</v>
      </c>
      <c r="BO25" s="122">
        <f t="shared" si="55"/>
        <v>0</v>
      </c>
      <c r="BP25" s="122">
        <f t="shared" si="55"/>
        <v>0</v>
      </c>
      <c r="BQ25" s="122">
        <f t="shared" si="55"/>
        <v>0</v>
      </c>
      <c r="BR25" s="122">
        <f t="shared" si="55"/>
        <v>0</v>
      </c>
      <c r="BS25" s="122">
        <f t="shared" si="55"/>
        <v>0</v>
      </c>
      <c r="BT25" s="122">
        <f t="shared" si="55"/>
        <v>0</v>
      </c>
      <c r="BU25" s="122">
        <f t="shared" si="55"/>
        <v>0</v>
      </c>
      <c r="BV25" s="122">
        <f t="shared" si="55"/>
        <v>0</v>
      </c>
      <c r="BW25" s="122">
        <f t="shared" si="55"/>
        <v>0</v>
      </c>
      <c r="BX25" s="122">
        <f t="shared" si="55"/>
        <v>0</v>
      </c>
      <c r="BY25" s="122">
        <f t="shared" si="55"/>
        <v>0</v>
      </c>
      <c r="BZ25" s="122">
        <f t="shared" si="55"/>
        <v>0</v>
      </c>
      <c r="CA25" s="122">
        <f t="shared" si="55"/>
        <v>0</v>
      </c>
      <c r="CB25" s="122">
        <f t="shared" si="55"/>
        <v>0</v>
      </c>
      <c r="CC25" s="122">
        <f t="shared" si="55"/>
        <v>0</v>
      </c>
      <c r="CD25" s="122">
        <f t="shared" si="55"/>
        <v>0</v>
      </c>
      <c r="CE25" s="122">
        <f t="shared" si="55"/>
        <v>0</v>
      </c>
      <c r="CF25" s="122">
        <f t="shared" si="55"/>
        <v>0</v>
      </c>
      <c r="CG25" s="122">
        <f t="shared" si="55"/>
        <v>0</v>
      </c>
      <c r="CH25" s="122">
        <f t="shared" si="55"/>
        <v>0</v>
      </c>
      <c r="CI25" s="122">
        <f t="shared" si="55"/>
        <v>0</v>
      </c>
      <c r="CJ25" s="122">
        <f t="shared" si="55"/>
        <v>0</v>
      </c>
      <c r="CK25" s="122">
        <f t="shared" si="55"/>
        <v>0</v>
      </c>
      <c r="CL25" s="122">
        <f t="shared" ref="CL25:DI25" si="56">(CL24*CL24/17+CL24*CL3*1000)</f>
        <v>0</v>
      </c>
      <c r="CM25" s="122">
        <f t="shared" si="56"/>
        <v>0</v>
      </c>
      <c r="CN25" s="122">
        <f t="shared" si="56"/>
        <v>0</v>
      </c>
      <c r="CO25" s="122">
        <f t="shared" si="56"/>
        <v>0</v>
      </c>
      <c r="CP25" s="122">
        <f t="shared" si="56"/>
        <v>0</v>
      </c>
      <c r="CQ25" s="122">
        <f t="shared" si="56"/>
        <v>0</v>
      </c>
      <c r="CR25" s="122">
        <f t="shared" si="56"/>
        <v>0</v>
      </c>
      <c r="CS25" s="122">
        <f t="shared" si="56"/>
        <v>0</v>
      </c>
      <c r="CT25" s="122">
        <f t="shared" si="56"/>
        <v>0</v>
      </c>
      <c r="CU25" s="122">
        <f t="shared" si="56"/>
        <v>0</v>
      </c>
      <c r="CV25" s="122">
        <f t="shared" si="56"/>
        <v>0</v>
      </c>
      <c r="CW25" s="122">
        <f t="shared" si="56"/>
        <v>0</v>
      </c>
      <c r="CX25" s="122">
        <f t="shared" si="56"/>
        <v>0</v>
      </c>
      <c r="CY25" s="122">
        <f t="shared" si="56"/>
        <v>0</v>
      </c>
      <c r="CZ25" s="122">
        <f t="shared" si="56"/>
        <v>0</v>
      </c>
      <c r="DA25" s="122">
        <f t="shared" si="56"/>
        <v>0</v>
      </c>
      <c r="DB25" s="122">
        <f t="shared" si="56"/>
        <v>0</v>
      </c>
      <c r="DC25" s="122">
        <f t="shared" si="56"/>
        <v>0</v>
      </c>
      <c r="DD25" s="122">
        <f t="shared" si="56"/>
        <v>0</v>
      </c>
      <c r="DE25" s="122">
        <f t="shared" si="56"/>
        <v>0</v>
      </c>
      <c r="DF25" s="122">
        <f t="shared" si="56"/>
        <v>0</v>
      </c>
      <c r="DG25" s="122">
        <f t="shared" si="56"/>
        <v>0</v>
      </c>
      <c r="DH25" s="122">
        <f t="shared" si="56"/>
        <v>0</v>
      </c>
      <c r="DI25" s="122">
        <f t="shared" si="56"/>
        <v>0</v>
      </c>
    </row>
    <row r="26" spans="1:120" s="113" customFormat="1" ht="2.1" customHeight="1">
      <c r="A26" s="111" t="s">
        <v>11</v>
      </c>
      <c r="B26" s="111"/>
      <c r="C26" s="111"/>
      <c r="D26" s="111"/>
      <c r="E26" s="111"/>
      <c r="F26" s="111"/>
      <c r="G26" s="111"/>
      <c r="H26" s="111"/>
      <c r="I26" s="111"/>
      <c r="J26" s="112">
        <v>-6</v>
      </c>
      <c r="K26" s="113">
        <v>-5.875</v>
      </c>
      <c r="L26" s="113">
        <v>-5.75</v>
      </c>
      <c r="M26" s="113">
        <v>-5.625</v>
      </c>
      <c r="N26" s="113">
        <v>-5.5</v>
      </c>
      <c r="O26" s="113">
        <v>-5.375</v>
      </c>
      <c r="P26" s="113">
        <v>-5.25</v>
      </c>
      <c r="Q26" s="113">
        <v>-5.125</v>
      </c>
      <c r="R26" s="112">
        <v>-5</v>
      </c>
      <c r="S26" s="113">
        <v>-4.875</v>
      </c>
      <c r="T26" s="113">
        <v>-4.75</v>
      </c>
      <c r="U26" s="113">
        <v>-4.625</v>
      </c>
      <c r="V26" s="113">
        <v>-4.5</v>
      </c>
      <c r="W26" s="113">
        <v>-4.375</v>
      </c>
      <c r="X26" s="113">
        <v>-4.25</v>
      </c>
      <c r="Y26" s="113">
        <v>-4.125</v>
      </c>
      <c r="Z26" s="112">
        <v>-4</v>
      </c>
      <c r="AA26" s="113">
        <v>-3.875</v>
      </c>
      <c r="AB26" s="113">
        <v>-3.75</v>
      </c>
      <c r="AC26" s="113">
        <v>-3.625</v>
      </c>
      <c r="AD26" s="113">
        <v>-3.5</v>
      </c>
      <c r="AE26" s="113">
        <v>-3.375</v>
      </c>
      <c r="AF26" s="113">
        <v>-3.25</v>
      </c>
      <c r="AG26" s="113">
        <v>-3.125</v>
      </c>
      <c r="AH26" s="112">
        <v>-3</v>
      </c>
      <c r="AI26" s="113">
        <v>-2.875</v>
      </c>
      <c r="AJ26" s="113">
        <v>-2.75</v>
      </c>
      <c r="AK26" s="113">
        <v>-2.625</v>
      </c>
      <c r="AL26" s="113">
        <v>-2.5</v>
      </c>
      <c r="AM26" s="113">
        <v>-2.375</v>
      </c>
      <c r="AN26" s="113">
        <v>-2.25</v>
      </c>
      <c r="AO26" s="113">
        <v>-2.125</v>
      </c>
      <c r="AP26" s="112">
        <v>-2</v>
      </c>
      <c r="AQ26" s="113">
        <v>-1.875</v>
      </c>
      <c r="AR26" s="113">
        <v>-1.75</v>
      </c>
      <c r="AS26" s="113">
        <v>-1.625</v>
      </c>
      <c r="AT26" s="113">
        <v>-1.5</v>
      </c>
      <c r="AU26" s="113">
        <v>-1.375</v>
      </c>
      <c r="AV26" s="113">
        <v>-1.25</v>
      </c>
      <c r="AW26" s="113">
        <v>-1.125</v>
      </c>
      <c r="AX26" s="112">
        <v>-1</v>
      </c>
      <c r="AY26" s="113">
        <v>-0.875</v>
      </c>
      <c r="AZ26" s="113">
        <v>-0.75</v>
      </c>
      <c r="BA26" s="113">
        <v>-0.625</v>
      </c>
      <c r="BB26" s="113">
        <v>-0.5</v>
      </c>
      <c r="BC26" s="113">
        <v>-0.375</v>
      </c>
      <c r="BD26" s="113">
        <v>-0.25</v>
      </c>
      <c r="BE26" s="113">
        <v>-0.125</v>
      </c>
      <c r="BF26" s="112">
        <v>0</v>
      </c>
      <c r="BG26" s="113">
        <v>0.125</v>
      </c>
      <c r="BH26" s="113">
        <v>0.25</v>
      </c>
      <c r="BI26" s="113">
        <v>0.375</v>
      </c>
      <c r="BJ26" s="113">
        <v>0.5</v>
      </c>
      <c r="BK26" s="113">
        <v>0.625</v>
      </c>
      <c r="BL26" s="113">
        <v>0.75</v>
      </c>
      <c r="BM26" s="113">
        <v>0.875</v>
      </c>
      <c r="BN26" s="112">
        <v>1</v>
      </c>
      <c r="BO26" s="113">
        <v>1.125</v>
      </c>
      <c r="BP26" s="113">
        <v>1.25</v>
      </c>
      <c r="BQ26" s="113">
        <v>1.375</v>
      </c>
      <c r="BR26" s="113">
        <v>1.5</v>
      </c>
      <c r="BS26" s="113">
        <v>1.625</v>
      </c>
      <c r="BT26" s="113">
        <v>1.75</v>
      </c>
      <c r="BU26" s="113">
        <v>1.875</v>
      </c>
      <c r="BV26" s="112">
        <v>2</v>
      </c>
      <c r="BW26" s="113">
        <v>2.125</v>
      </c>
      <c r="BX26" s="113">
        <v>2.25</v>
      </c>
      <c r="BY26" s="113">
        <v>2.375</v>
      </c>
      <c r="BZ26" s="113">
        <v>2.5</v>
      </c>
      <c r="CA26" s="113">
        <v>2.625</v>
      </c>
      <c r="CB26" s="113">
        <v>2.75</v>
      </c>
      <c r="CC26" s="113">
        <v>2.875</v>
      </c>
      <c r="CD26" s="112">
        <v>3</v>
      </c>
      <c r="CE26" s="113">
        <v>3.125</v>
      </c>
      <c r="CF26" s="113">
        <v>3.25</v>
      </c>
      <c r="CG26" s="113">
        <v>3.375</v>
      </c>
      <c r="CH26" s="113">
        <v>3.5</v>
      </c>
      <c r="CI26" s="113">
        <v>3.625</v>
      </c>
      <c r="CJ26" s="113">
        <v>3.75</v>
      </c>
      <c r="CK26" s="113">
        <v>3.875</v>
      </c>
      <c r="CL26" s="112">
        <v>4</v>
      </c>
      <c r="CM26" s="113">
        <v>4.125</v>
      </c>
      <c r="CN26" s="113">
        <v>4.25</v>
      </c>
      <c r="CO26" s="113">
        <v>4.375</v>
      </c>
      <c r="CP26" s="113">
        <v>4.5</v>
      </c>
      <c r="CQ26" s="113">
        <v>4.625</v>
      </c>
      <c r="CR26" s="113">
        <v>4.75</v>
      </c>
      <c r="CS26" s="113">
        <v>4.875</v>
      </c>
      <c r="CT26" s="112">
        <v>5</v>
      </c>
      <c r="CU26" s="113">
        <v>5.125</v>
      </c>
      <c r="CV26" s="113">
        <v>5.25</v>
      </c>
      <c r="CW26" s="113">
        <v>5.375</v>
      </c>
      <c r="CX26" s="113">
        <v>5.5</v>
      </c>
      <c r="CY26" s="113">
        <v>5.625</v>
      </c>
      <c r="CZ26" s="113">
        <v>5.75</v>
      </c>
      <c r="DA26" s="113">
        <v>5.875</v>
      </c>
      <c r="DB26" s="112">
        <v>6</v>
      </c>
      <c r="DC26" s="113">
        <v>7.5</v>
      </c>
      <c r="DD26" s="113">
        <v>10</v>
      </c>
      <c r="DE26" s="113">
        <v>15</v>
      </c>
      <c r="DF26" s="113">
        <v>20</v>
      </c>
      <c r="DG26" s="113">
        <v>25</v>
      </c>
      <c r="DH26" s="113">
        <v>30</v>
      </c>
      <c r="DI26" s="113">
        <v>45</v>
      </c>
    </row>
    <row r="27" spans="1:120" s="149" customFormat="1" ht="12" customHeight="1">
      <c r="A27" s="150">
        <v>1</v>
      </c>
      <c r="B27" s="150"/>
      <c r="C27" s="150"/>
      <c r="D27" s="150"/>
      <c r="E27" s="150"/>
      <c r="F27" s="150"/>
      <c r="G27" s="150"/>
      <c r="H27" s="150"/>
      <c r="I27" s="150"/>
    </row>
    <row r="28" spans="1:120" ht="15" customHeight="1" thickBot="1">
      <c r="A28" s="76">
        <v>2</v>
      </c>
      <c r="B28" s="76"/>
      <c r="C28" s="76"/>
      <c r="D28" s="76"/>
      <c r="E28" s="76"/>
      <c r="F28" s="76"/>
      <c r="G28" s="76"/>
      <c r="H28" s="76"/>
      <c r="I28" s="76"/>
      <c r="CA28" s="96">
        <v>1</v>
      </c>
    </row>
    <row r="29" spans="1:120" ht="15" customHeight="1" thickBot="1">
      <c r="A29" s="76">
        <v>3</v>
      </c>
      <c r="B29" s="76"/>
      <c r="C29" s="76"/>
      <c r="D29" s="76"/>
      <c r="E29" s="76"/>
      <c r="F29" s="76"/>
      <c r="G29" s="76"/>
      <c r="H29" s="76"/>
      <c r="I29" s="76"/>
      <c r="BF29" s="124">
        <v>0</v>
      </c>
      <c r="CA29" s="96">
        <v>0.75</v>
      </c>
    </row>
    <row r="30" spans="1:120" ht="15" customHeight="1">
      <c r="CA30" s="96">
        <v>0.5</v>
      </c>
    </row>
    <row r="31" spans="1:120" ht="15" customHeight="1">
      <c r="CA31" s="96">
        <v>0.25</v>
      </c>
    </row>
    <row r="32" spans="1:120" ht="15" customHeight="1" thickBot="1">
      <c r="CA32" s="96">
        <v>0</v>
      </c>
    </row>
    <row r="33" spans="1:81" ht="15" customHeight="1">
      <c r="A33" s="97" t="s">
        <v>54</v>
      </c>
      <c r="B33" s="151"/>
      <c r="C33" s="151"/>
      <c r="D33" s="151"/>
      <c r="E33" s="151"/>
      <c r="F33" s="151"/>
      <c r="G33" s="151"/>
      <c r="H33" s="151"/>
      <c r="I33" s="151"/>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109">
        <f>BF34/(BF35+0.001)/2*57.3</f>
        <v>4.7742042992834524</v>
      </c>
      <c r="CA33" s="96">
        <v>-0.25</v>
      </c>
    </row>
    <row r="34" spans="1:81" ht="15" customHeight="1" thickBot="1">
      <c r="A34" s="99" t="s">
        <v>52</v>
      </c>
      <c r="B34" s="152"/>
      <c r="C34" s="152"/>
      <c r="D34" s="152"/>
      <c r="E34" s="152"/>
      <c r="F34" s="152"/>
      <c r="G34" s="152"/>
      <c r="H34" s="152"/>
      <c r="I34" s="152"/>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110">
        <f>'Equation du radar'!C8</f>
        <v>1</v>
      </c>
      <c r="CA34" s="96">
        <v>-0.5</v>
      </c>
    </row>
    <row r="35" spans="1:81" ht="15" customHeight="1" thickBot="1">
      <c r="A35" s="100" t="s">
        <v>53</v>
      </c>
      <c r="B35" s="153"/>
      <c r="C35" s="153"/>
      <c r="D35" s="153"/>
      <c r="E35" s="153"/>
      <c r="F35" s="153"/>
      <c r="G35" s="153"/>
      <c r="H35" s="153"/>
      <c r="I35" s="153"/>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2"/>
      <c r="BF35" s="95">
        <v>6</v>
      </c>
      <c r="CA35" s="96">
        <v>-0.75</v>
      </c>
    </row>
    <row r="36" spans="1:81" ht="15" customHeight="1">
      <c r="CA36" s="96">
        <v>-1</v>
      </c>
    </row>
    <row r="37" spans="1:81" ht="15" customHeight="1">
      <c r="CA37" s="105"/>
    </row>
    <row r="38" spans="1:81" ht="15" customHeight="1">
      <c r="CA38" s="106"/>
    </row>
    <row r="39" spans="1:81" ht="15" customHeight="1">
      <c r="CA39" s="106"/>
    </row>
    <row r="40" spans="1:81" ht="15" customHeight="1">
      <c r="CA40" s="106"/>
    </row>
    <row r="41" spans="1:81" ht="15" customHeight="1" thickBot="1"/>
    <row r="42" spans="1:81" ht="15" customHeight="1">
      <c r="A42" s="103" t="s">
        <v>63</v>
      </c>
      <c r="B42" s="154"/>
      <c r="C42" s="154"/>
      <c r="D42" s="154"/>
      <c r="E42" s="154"/>
      <c r="F42" s="154"/>
      <c r="G42" s="154"/>
      <c r="H42" s="154"/>
      <c r="I42" s="154"/>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107">
        <f>BF4</f>
        <v>0</v>
      </c>
    </row>
    <row r="43" spans="1:81" ht="15" customHeight="1" thickBot="1">
      <c r="A43" s="104" t="s">
        <v>64</v>
      </c>
      <c r="B43" s="155"/>
      <c r="C43" s="155"/>
      <c r="D43" s="155"/>
      <c r="E43" s="155"/>
      <c r="F43" s="155"/>
      <c r="G43" s="155"/>
      <c r="H43" s="155"/>
      <c r="I43" s="155"/>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8" t="s">
        <v>65</v>
      </c>
    </row>
    <row r="46" spans="1:81" ht="15" customHeight="1">
      <c r="A46" s="77" t="s">
        <v>55</v>
      </c>
      <c r="B46" s="77"/>
      <c r="C46" s="77"/>
      <c r="D46" s="77"/>
      <c r="E46" s="77"/>
      <c r="F46" s="77"/>
      <c r="G46" s="77"/>
      <c r="H46" s="77"/>
      <c r="I46" s="77"/>
      <c r="CC46" s="73"/>
    </row>
    <row r="47" spans="1:81" ht="15" customHeight="1">
      <c r="A47" s="77" t="s">
        <v>56</v>
      </c>
      <c r="B47" s="77"/>
      <c r="C47" s="77"/>
      <c r="D47" s="77"/>
      <c r="E47" s="77"/>
      <c r="F47" s="77"/>
      <c r="G47" s="77"/>
      <c r="H47" s="77"/>
      <c r="I47" s="77"/>
    </row>
    <row r="50" spans="1:106" ht="15" customHeight="1">
      <c r="J50" s="78"/>
      <c r="K50" s="78"/>
      <c r="L50" s="78"/>
      <c r="M50" s="78"/>
      <c r="N50" s="78"/>
      <c r="O50" s="78"/>
      <c r="P50" s="78"/>
      <c r="Q50" s="78"/>
      <c r="R50" s="80"/>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9"/>
    </row>
    <row r="51" spans="1:106" ht="15" customHeight="1">
      <c r="A51" s="16" t="s">
        <v>55</v>
      </c>
      <c r="B51" s="156"/>
      <c r="C51" s="156"/>
      <c r="D51" s="156"/>
      <c r="E51" s="156"/>
      <c r="F51" s="156"/>
      <c r="G51" s="156"/>
      <c r="H51" s="156"/>
      <c r="I51" s="156"/>
      <c r="J51" s="92"/>
      <c r="K51" s="17"/>
      <c r="L51" s="17"/>
      <c r="M51" s="17"/>
      <c r="N51" s="17"/>
      <c r="O51" s="17"/>
      <c r="P51" s="17"/>
      <c r="Q51" s="17"/>
      <c r="R51" s="93"/>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94"/>
    </row>
    <row r="52" spans="1:106" ht="15" customHeight="1">
      <c r="J52" s="92"/>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94"/>
    </row>
    <row r="53" spans="1:106" ht="15" customHeight="1">
      <c r="A53" s="91"/>
      <c r="B53" s="91"/>
      <c r="C53" s="91"/>
      <c r="D53" s="91"/>
      <c r="E53" s="91"/>
      <c r="F53" s="91"/>
      <c r="G53" s="91"/>
      <c r="H53" s="91"/>
      <c r="I53" s="91"/>
      <c r="J53" s="92"/>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94"/>
    </row>
    <row r="55" spans="1:106" ht="15" customHeight="1">
      <c r="BM55" s="19"/>
      <c r="BN55" s="1"/>
      <c r="BU55" s="19"/>
      <c r="BV55" s="1"/>
      <c r="CC55" s="19"/>
      <c r="CD55" s="1"/>
      <c r="CK55" s="19"/>
      <c r="CL55" s="1"/>
      <c r="CS55" s="19"/>
      <c r="CT55" s="1"/>
      <c r="DA55" s="19"/>
      <c r="DB55" s="1"/>
    </row>
  </sheetData>
  <sheetProtection password="8EBD" sheet="1" objects="1" scenarios="1"/>
  <phoneticPr fontId="0" type="noConversion"/>
  <conditionalFormatting sqref="BF51:BF53">
    <cfRule type="cellIs" dxfId="0" priority="1" stopIfTrue="1" operator="equal">
      <formula>1</formula>
    </cfRule>
    <cfRule type="cellIs" priority="2" stopIfTrue="1" operator="equal">
      <formula>1</formula>
    </cfRule>
  </conditionalFormatting>
  <dataValidations count="2">
    <dataValidation type="list" allowBlank="1" showInputMessage="1" showErrorMessage="1" sqref="A51:I51">
      <formula1>$A$46:$A$47</formula1>
    </dataValidation>
    <dataValidation type="list" allowBlank="1" showInputMessage="1" showErrorMessage="1" sqref="BF29">
      <formula1>$CA$28:$CA$36</formula1>
    </dataValidation>
  </dataValidations>
  <printOptions horizontalCentered="1"/>
  <pageMargins left="0.47244094488188981" right="0.47244094488188981" top="1.1023622047244095" bottom="0.19685039370078741" header="0.51181102362204722" footer="0.15748031496062992"/>
  <pageSetup paperSize="9" scale="120" orientation="landscape" r:id="rId1"/>
  <headerFooter alignWithMargins="0">
    <oddHeader>&amp;L&amp;F&amp;C&amp;A&amp;R&amp;D</oddHeader>
  </headerFooter>
  <drawing r:id="rId2"/>
</worksheet>
</file>

<file path=xl/worksheets/sheet7.xml><?xml version="1.0" encoding="utf-8"?>
<worksheet xmlns="http://schemas.openxmlformats.org/spreadsheetml/2006/main" xmlns:r="http://schemas.openxmlformats.org/officeDocument/2006/relationships">
  <sheetPr>
    <pageSetUpPr autoPageBreaks="0"/>
  </sheetPr>
  <dimension ref="A1:I26"/>
  <sheetViews>
    <sheetView zoomScaleNormal="100" workbookViewId="0">
      <selection activeCell="J32" sqref="J32"/>
    </sheetView>
  </sheetViews>
  <sheetFormatPr baseColWidth="10" defaultColWidth="15" defaultRowHeight="15.75"/>
  <cols>
    <col min="1" max="1" width="22.140625" style="169" customWidth="1"/>
    <col min="2" max="2" width="15" style="174" customWidth="1"/>
    <col min="3" max="3" width="14.7109375" style="173" customWidth="1"/>
    <col min="4" max="4" width="6.85546875" style="173" customWidth="1"/>
    <col min="5" max="5" width="10" style="172" customWidth="1"/>
    <col min="6" max="6" width="6.140625" style="171" customWidth="1"/>
    <col min="7" max="7" width="24.28515625" style="171" customWidth="1"/>
    <col min="8" max="8" width="13.28515625" style="170" customWidth="1"/>
    <col min="9" max="9" width="1.42578125" style="169" customWidth="1"/>
    <col min="10" max="16384" width="15" style="169"/>
  </cols>
  <sheetData>
    <row r="1" spans="1:8" ht="9" customHeight="1" thickBot="1"/>
    <row r="2" spans="1:8" ht="20.100000000000001" customHeight="1" thickBot="1">
      <c r="A2" s="203" t="s">
        <v>35</v>
      </c>
      <c r="B2" s="205" t="s">
        <v>50</v>
      </c>
      <c r="C2" s="206">
        <f>'Equation du radar'!C2</f>
        <v>1</v>
      </c>
      <c r="E2" s="191">
        <f>10*LOG(C2*1000)</f>
        <v>30</v>
      </c>
    </row>
    <row r="3" spans="1:8" ht="16.5" customHeight="1" thickBot="1">
      <c r="B3" s="208"/>
      <c r="C3" s="170"/>
      <c r="E3" s="207"/>
    </row>
    <row r="4" spans="1:8" ht="20.100000000000001" customHeight="1" thickBot="1">
      <c r="B4" s="204" t="s">
        <v>51</v>
      </c>
      <c r="C4" s="206">
        <f>'Equation du radar'!C4</f>
        <v>1</v>
      </c>
      <c r="E4" s="191">
        <f>10*LOG(C4/1000000)</f>
        <v>-60</v>
      </c>
    </row>
    <row r="5" spans="1:8" ht="16.5" thickBot="1">
      <c r="B5" s="203"/>
    </row>
    <row r="6" spans="1:8" ht="20.100000000000001" customHeight="1" thickBot="1">
      <c r="B6" s="205" t="s">
        <v>37</v>
      </c>
      <c r="C6" s="201">
        <f>'Equation du radar'!C6</f>
        <v>0</v>
      </c>
      <c r="E6" s="191">
        <f>C6</f>
        <v>0</v>
      </c>
    </row>
    <row r="7" spans="1:8" ht="16.5" thickBot="1">
      <c r="B7" s="203"/>
    </row>
    <row r="8" spans="1:8" ht="20.100000000000001" customHeight="1" thickBot="1">
      <c r="B8" s="204" t="s">
        <v>29</v>
      </c>
      <c r="C8" s="201">
        <f>'Equation du radar'!C10</f>
        <v>1</v>
      </c>
      <c r="E8" s="191">
        <f>10*LOG(C8)</f>
        <v>0</v>
      </c>
    </row>
    <row r="9" spans="1:8" ht="16.5" thickBot="1">
      <c r="B9" s="203"/>
    </row>
    <row r="10" spans="1:8" ht="20.100000000000001" customHeight="1" thickBot="1">
      <c r="B10" s="199" t="s">
        <v>88</v>
      </c>
      <c r="C10" s="202">
        <v>11</v>
      </c>
      <c r="E10" s="191">
        <f>-C10</f>
        <v>-11</v>
      </c>
      <c r="G10" s="169"/>
      <c r="H10" s="169"/>
    </row>
    <row r="11" spans="1:8" ht="16.5" thickBot="1"/>
    <row r="12" spans="1:8" ht="20.100000000000001" customHeight="1" thickBot="1">
      <c r="B12" s="193" t="s">
        <v>23</v>
      </c>
      <c r="C12" s="201">
        <f>'[1]Sans brouillage'!C14</f>
        <v>0</v>
      </c>
      <c r="E12" s="191">
        <f>-C12</f>
        <v>0</v>
      </c>
      <c r="G12" s="169"/>
      <c r="H12" s="169"/>
    </row>
    <row r="13" spans="1:8" ht="16.5" thickBot="1">
      <c r="B13" s="194"/>
    </row>
    <row r="14" spans="1:8" ht="20.100000000000001" customHeight="1" thickBot="1">
      <c r="B14" s="193" t="s">
        <v>87</v>
      </c>
      <c r="C14" s="192">
        <v>0</v>
      </c>
      <c r="E14" s="191">
        <f>-C14</f>
        <v>0</v>
      </c>
    </row>
    <row r="15" spans="1:8" ht="16.5" thickBot="1">
      <c r="B15" s="169"/>
      <c r="C15" s="169"/>
      <c r="D15" s="169"/>
      <c r="E15" s="169"/>
    </row>
    <row r="16" spans="1:8" ht="20.100000000000001" customHeight="1" thickBot="1">
      <c r="A16" s="194" t="s">
        <v>36</v>
      </c>
      <c r="B16" s="193" t="s">
        <v>86</v>
      </c>
      <c r="C16" s="192">
        <v>1</v>
      </c>
      <c r="E16" s="191">
        <f>-10*LOG(C16)</f>
        <v>0</v>
      </c>
      <c r="G16" s="200" t="s">
        <v>85</v>
      </c>
      <c r="H16" s="197">
        <v>1</v>
      </c>
    </row>
    <row r="17" spans="1:9" ht="16.5" thickBot="1">
      <c r="B17" s="194"/>
    </row>
    <row r="18" spans="1:9" ht="20.100000000000001" customHeight="1" thickBot="1">
      <c r="B18" s="199" t="s">
        <v>84</v>
      </c>
      <c r="C18" s="192">
        <v>0</v>
      </c>
      <c r="E18" s="191">
        <f>-C18</f>
        <v>0</v>
      </c>
      <c r="G18" s="198" t="s">
        <v>83</v>
      </c>
      <c r="H18" s="197">
        <v>1</v>
      </c>
    </row>
    <row r="19" spans="1:9" ht="16.5" thickBot="1">
      <c r="B19" s="194"/>
    </row>
    <row r="20" spans="1:9" ht="20.100000000000001" customHeight="1" thickBot="1">
      <c r="B20" s="193" t="s">
        <v>82</v>
      </c>
      <c r="C20" s="196">
        <f>$H16/$H18/1000000</f>
        <v>9.9999999999999995E-7</v>
      </c>
      <c r="E20" s="191">
        <f>-10*LOG(C20)</f>
        <v>60</v>
      </c>
      <c r="G20" s="189" t="s">
        <v>33</v>
      </c>
      <c r="H20" s="195">
        <f>$E$24/2</f>
        <v>0</v>
      </c>
    </row>
    <row r="21" spans="1:9" ht="16.5" thickBot="1">
      <c r="B21" s="194"/>
      <c r="G21" s="213" t="s">
        <v>81</v>
      </c>
      <c r="H21" s="213"/>
    </row>
    <row r="22" spans="1:9" ht="19.5" thickBot="1">
      <c r="B22" s="193" t="s">
        <v>80</v>
      </c>
      <c r="C22" s="192">
        <v>0</v>
      </c>
      <c r="E22" s="191">
        <f>-C22</f>
        <v>0</v>
      </c>
      <c r="F22" s="190"/>
      <c r="G22" s="189" t="s">
        <v>79</v>
      </c>
      <c r="H22" s="188">
        <f>POWER(10,H20/10)/1000</f>
        <v>1E-3</v>
      </c>
      <c r="I22" s="169">
        <f>POWER(H22,-4)</f>
        <v>1000000000000</v>
      </c>
    </row>
    <row r="23" spans="1:9" ht="16.5" thickBot="1">
      <c r="A23" s="173" t="s">
        <v>78</v>
      </c>
    </row>
    <row r="24" spans="1:9" ht="19.5" thickBot="1">
      <c r="A24" s="173" t="s">
        <v>77</v>
      </c>
      <c r="B24" s="187" t="s">
        <v>77</v>
      </c>
      <c r="C24" s="186" t="s">
        <v>76</v>
      </c>
      <c r="D24" s="185"/>
      <c r="E24" s="184">
        <f>IF(B24="oui",SUM(E2:E23),0)</f>
        <v>0</v>
      </c>
      <c r="G24" s="183" t="s">
        <v>75</v>
      </c>
      <c r="H24" s="182">
        <f>'Equation du radar'!H22</f>
        <v>1E-3</v>
      </c>
      <c r="I24" s="169">
        <f>POWER(H24,-4)</f>
        <v>1000000000000</v>
      </c>
    </row>
    <row r="25" spans="1:9" ht="16.5" thickBot="1">
      <c r="A25" s="181"/>
      <c r="I25" s="180">
        <f>I22+I24</f>
        <v>2000000000000</v>
      </c>
    </row>
    <row r="26" spans="1:9" ht="16.5" thickBot="1">
      <c r="D26" s="179"/>
      <c r="E26" s="178"/>
      <c r="F26" s="177"/>
      <c r="G26" s="176" t="s">
        <v>74</v>
      </c>
      <c r="H26" s="175">
        <f>I26</f>
        <v>8.4089641525371438E-4</v>
      </c>
      <c r="I26" s="169">
        <f>POWER(I25,-0.25)</f>
        <v>8.4089641525371438E-4</v>
      </c>
    </row>
  </sheetData>
  <sheetProtection password="8EBD" sheet="1" objects="1" scenarios="1"/>
  <mergeCells count="1">
    <mergeCell ref="G21:H21"/>
  </mergeCells>
  <dataValidations count="1">
    <dataValidation type="list" allowBlank="1" showInputMessage="1" showErrorMessage="1" sqref="B24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B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B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B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B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B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B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B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B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B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B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B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B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B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B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B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formula1>$A$23:$A$24</formula1>
    </dataValidation>
  </dataValidations>
  <printOptions horizontalCentered="1" verticalCentered="1"/>
  <pageMargins left="0.78740157480314965" right="0.78740157480314965" top="0.98425196850393704" bottom="0.7" header="0.51181102362204722" footer="0.51181102362204722"/>
  <pageSetup paperSize="9" orientation="landscape" r:id="rId1"/>
  <headerFooter alignWithMargins="0">
    <oddHeader>&amp;L&amp;F&amp;C&amp;A&amp;R&amp;D</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Présentation du calculateur</vt:lpstr>
      <vt:lpstr>Equation du radar</vt:lpstr>
      <vt:lpstr>Gain de l'antenne</vt:lpstr>
      <vt:lpstr>Couverture en "espace libre"</vt:lpstr>
      <vt:lpstr>Variation du signal</vt:lpstr>
      <vt:lpstr>Effet de sol</vt:lpstr>
      <vt:lpstr>Portée dans le brouillage</vt:lpstr>
      <vt:lpstr>'Couverture en "espace libre"'!Zone_d_impression</vt:lpstr>
      <vt:lpstr>'Effet de sol'!Zone_d_impression</vt:lpstr>
      <vt:lpstr>'Equation du radar'!Zone_d_impression</vt:lpstr>
      <vt:lpstr>'Gain de l''antenne'!Zone_d_impression</vt:lpstr>
      <vt:lpstr>'Portée dans le brouillage'!Zone_d_impression</vt:lpstr>
      <vt:lpstr>'Variation du signal'!Zone_d_impression</vt:lpstr>
    </vt:vector>
  </TitlesOfParts>
  <Company>SAE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jdarricau</dc:creator>
  <cp:lastModifiedBy>Jacmajo</cp:lastModifiedBy>
  <cp:lastPrinted>2007-02-24T15:40:09Z</cp:lastPrinted>
  <dcterms:created xsi:type="dcterms:W3CDTF">2006-09-07T09:19:53Z</dcterms:created>
  <dcterms:modified xsi:type="dcterms:W3CDTF">2014-03-23T16:46:23Z</dcterms:modified>
</cp:coreProperties>
</file>